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ibet Calculator" sheetId="1" state="visible" r:id="rId2"/>
    <sheet name="Calculations" sheetId="2" state="visible" r:id="rId3"/>
    <sheet name="Drop Down Lists" sheetId="3" state="visible" r:id="rId4"/>
  </sheets>
  <definedNames>
    <definedName function="false" hidden="false" name="Back_Commission" vbProcedure="false">Calculations!$B$7</definedName>
    <definedName function="false" hidden="false" name="Back_Odds" vbProcedure="false">Calculations!$B$4</definedName>
    <definedName function="false" hidden="false" name="Back_Stake" vbProcedure="false">Calculations!$B$3</definedName>
    <definedName function="false" hidden="false" name="Bet_Type" vbProcedure="false">Calculations!$B$2</definedName>
    <definedName function="false" hidden="false" name="Bonus_1_Back_Commission" vbProcedure="false">Calculations!$B$64</definedName>
    <definedName function="false" hidden="false" name="Bonus_1_Back_Odds" vbProcedure="false">Calculations!$B$63</definedName>
    <definedName function="false" hidden="false" name="Bonus_1_Back_Stake" vbProcedure="false">Calculations!$B$62</definedName>
    <definedName function="false" hidden="false" name="Bonus_1_Lay_Commission" vbProcedure="false">Calculations!$B$66</definedName>
    <definedName function="false" hidden="false" name="Bonus_1_Lay_Odds" vbProcedure="false">Calculations!$B$65</definedName>
    <definedName function="false" hidden="false" name="Bonus_1_Lay_Stake" vbProcedure="false">Calculations!$B$76</definedName>
    <definedName function="false" hidden="false" name="Bonus_1_Liability" vbProcedure="false">Calculations!$B$77</definedName>
    <definedName function="false" hidden="false" name="Bonus_1_Part_Lay_Commission_1" vbProcedure="false">Calculations!$B$69</definedName>
    <definedName function="false" hidden="false" name="Bonus_1_Part_Lay_Commission_2" vbProcedure="false">Calculations!$B$72</definedName>
    <definedName function="false" hidden="false" name="Bonus_1_Part_Lay_Commission_3" vbProcedure="false">Calculations!$B$75</definedName>
    <definedName function="false" hidden="false" name="Bonus_1_Part_Lay_Odds_1" vbProcedure="false">Calculations!$B$67</definedName>
    <definedName function="false" hidden="false" name="Bonus_1_Part_Lay_Odds_2" vbProcedure="false">Calculations!$B$70</definedName>
    <definedName function="false" hidden="false" name="Bonus_1_Part_Lay_Odds_3" vbProcedure="false">Calculations!$B$73</definedName>
    <definedName function="false" hidden="false" name="Bonus_1_Part_Lay_Stake_1" vbProcedure="false">Calculations!$B$68</definedName>
    <definedName function="false" hidden="false" name="Bonus_1_Part_Lay_Stake_2" vbProcedure="false">Calculations!$B$71</definedName>
    <definedName function="false" hidden="false" name="Bonus_1_Part_Lay_Stake_3" vbProcedure="false">Calculations!$B$74</definedName>
    <definedName function="false" hidden="false" name="Bonus_2_Back_Commission" vbProcedure="false">Calculations!$B$108</definedName>
    <definedName function="false" hidden="false" name="Bonus_2_Back_Odds" vbProcedure="false">Calculations!$B$107</definedName>
    <definedName function="false" hidden="false" name="Bonus_2_Back_Stake" vbProcedure="false">Calculations!$B$106</definedName>
    <definedName function="false" hidden="false" name="Bonus_2_Lay_Commission" vbProcedure="false">Calculations!$B$110</definedName>
    <definedName function="false" hidden="false" name="Bonus_2_Lay_Odds" vbProcedure="false">Calculations!$B$109</definedName>
    <definedName function="false" hidden="false" name="Bonus_2_Lay_Stake" vbProcedure="false">Calculations!$B$120</definedName>
    <definedName function="false" hidden="false" name="Bonus_2_Liability" vbProcedure="false">Calculations!$B$121</definedName>
    <definedName function="false" hidden="false" name="Bonus_2_Part_Lay_Commission_1" vbProcedure="false">Calculations!$B$113</definedName>
    <definedName function="false" hidden="false" name="Bonus_2_Part_Lay_Commission_2" vbProcedure="false">Calculations!$B$116</definedName>
    <definedName function="false" hidden="false" name="Bonus_2_Part_Lay_Commission_3" vbProcedure="false">Calculations!$B$119</definedName>
    <definedName function="false" hidden="false" name="Bonus_2_Part_Lay_Odds_1" vbProcedure="false">Calculations!$B$111</definedName>
    <definedName function="false" hidden="false" name="Bonus_2_Part_Lay_Odds_2" vbProcedure="false">Calculations!$B$114</definedName>
    <definedName function="false" hidden="false" name="Bonus_2_Part_Lay_Odds_3" vbProcedure="false">Calculations!$B$117</definedName>
    <definedName function="false" hidden="false" name="Bonus_2_Part_Lay_Stake_1" vbProcedure="false">Calculations!$B$112</definedName>
    <definedName function="false" hidden="false" name="Bonus_2_Part_Lay_Stake_2" vbProcedure="false">Calculations!$B$115</definedName>
    <definedName function="false" hidden="false" name="Bonus_2_Part_Lay_Stake_3" vbProcedure="false">Calculations!$B$118</definedName>
    <definedName function="false" hidden="false" name="Bonus_Retention" vbProcedure="false">Calculations!$B$8</definedName>
    <definedName function="false" hidden="false" name="Bookmaker_Win_Position" vbProcedure="false">Calculations!$B$27</definedName>
    <definedName function="false" hidden="false" name="Exchange_Position" vbProcedure="false">Calculations!$B$26</definedName>
    <definedName function="false" hidden="false" name="Exchange_Win_Position" vbProcedure="false">Calculations!$B$30</definedName>
    <definedName function="false" hidden="false" name="Exchange_Win_Position_Free_Bet_SNR" vbProcedure="false">Calculations!$B$29</definedName>
    <definedName function="false" hidden="false" name="Exchange_Win_Position_Normal_Bet" vbProcedure="false">Calculations!$B$28</definedName>
    <definedName function="false" hidden="false" name="Expected_Profit_From_Bonus" vbProcedure="false">Calculations!$B$9</definedName>
    <definedName function="false" hidden="false" name="Gain_If_Exchange_Lay_Wins" vbProcedure="false">Calculations!$B$32</definedName>
    <definedName function="false" hidden="false" name="Lay_Commission" vbProcedure="false">Calculations!$B$11</definedName>
    <definedName function="false" hidden="false" name="Lay_Odds" vbProcedure="false">Calculations!$B$10</definedName>
    <definedName function="false" hidden="false" name="Lay_Stake" vbProcedure="false">Calculations!$B$23</definedName>
    <definedName function="false" hidden="false" name="Lay_Stake_Free_Bet_SNR" vbProcedure="false">Calculations!$B$22</definedName>
    <definedName function="false" hidden="false" name="Lay_Stake_Normal_Bet" vbProcedure="false">Calculations!$B$21</definedName>
    <definedName function="false" hidden="false" name="Liability" vbProcedure="false">Calculations!$B$24</definedName>
    <definedName function="false" hidden="false" name="Loss_If_Exchange_Lay_Wins" vbProcedure="false">Calculations!$B$31</definedName>
    <definedName function="false" hidden="false" name="Maximum_Bonus" vbProcedure="false">Calculations!$B$5</definedName>
    <definedName function="false" hidden="false" name="Outcome_Of_First_Bonus_Bet" vbProcedure="false">Calculations!$B$57</definedName>
    <definedName function="false" hidden="false" name="Outcome_Of_Second_Bonus_Bet" vbProcedure="false">Calculations!$B$58</definedName>
    <definedName function="false" hidden="false" name="Part_Lay_Commission_1" vbProcedure="false">Calculations!$B$14</definedName>
    <definedName function="false" hidden="false" name="Part_Lay_Commission_2" vbProcedure="false">Calculations!$B$17</definedName>
    <definedName function="false" hidden="false" name="Part_Lay_Commission_3" vbProcedure="false">Calculations!$B$20</definedName>
    <definedName function="false" hidden="false" name="Part_Lay_Odds_1" vbProcedure="false">Calculations!$B$12</definedName>
    <definedName function="false" hidden="false" name="Part_Lay_Odds_2" vbProcedure="false">Calculations!$B$15</definedName>
    <definedName function="false" hidden="false" name="Part_Lay_Odds_3" vbProcedure="false">Calculations!$B$18</definedName>
    <definedName function="false" hidden="false" name="Part_Lay_Stake_1" vbProcedure="false">Calculations!$B$13</definedName>
    <definedName function="false" hidden="false" name="Part_Lay_Stake_2" vbProcedure="false">Calculations!$B$16</definedName>
    <definedName function="false" hidden="false" name="Part_Lay_Stake_3" vbProcedure="false">Calculations!$B$19</definedName>
    <definedName function="false" hidden="false" name="Qualifying_Result" vbProcedure="false">Calculations!$B$56</definedName>
    <definedName function="false" hidden="false" name="Text_for_Exchange_Lay_Win_Position" vbProcedure="false">Calculations!$B$35</definedName>
    <definedName function="false" hidden="false" name="Text_for_Exchange_Lay_Win_Position_Free_SNR" vbProcedure="false">Calculations!$B$34</definedName>
    <definedName function="false" hidden="false" name="Text_for_Exchange_Lay_Win_Position_Normal" vbProcedure="false">Calculations!$B$33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<sst xmlns="http://schemas.openxmlformats.org/spreadsheetml/2006/main" count="246" uniqueCount="125">
  <si>
    <t xml:space="preserve">Unibet Calculator</t>
  </si>
  <si>
    <t xml:space="preserve">Bonus Wagering 1</t>
  </si>
  <si>
    <t xml:space="preserve">Bonus Wagering 2</t>
  </si>
  <si>
    <t xml:space="preserve">Bet Type:     </t>
  </si>
  <si>
    <t xml:space="preserve">Normal</t>
  </si>
  <si>
    <t xml:space="preserve">Bonus Applied If Bet:</t>
  </si>
  <si>
    <t xml:space="preserve">Loses</t>
  </si>
  <si>
    <t xml:space="preserve">Qualifying Bet</t>
  </si>
  <si>
    <t xml:space="preserve">Bonus Wagering Bet 1</t>
  </si>
  <si>
    <t xml:space="preserve">Bonus Wagering Bet 2</t>
  </si>
  <si>
    <t xml:space="preserve">Back Stake</t>
  </si>
  <si>
    <t xml:space="preserve">£</t>
  </si>
  <si>
    <t xml:space="preserve">Maximum Bonus</t>
  </si>
  <si>
    <t xml:space="preserve">Back Odds</t>
  </si>
  <si>
    <t xml:space="preserve">Bonus Retention %</t>
  </si>
  <si>
    <t xml:space="preserve">%</t>
  </si>
  <si>
    <t xml:space="preserve">Back Commission</t>
  </si>
  <si>
    <t xml:space="preserve">Lay Odds</t>
  </si>
  <si>
    <t xml:space="preserve">Lay Commission</t>
  </si>
  <si>
    <t xml:space="preserve"> Lay Bet(s) Matched So Far:</t>
  </si>
  <si>
    <t xml:space="preserve">Part Lay One</t>
  </si>
  <si>
    <t xml:space="preserve">Lay Stake</t>
  </si>
  <si>
    <t xml:space="preserve">Part Lay Two</t>
  </si>
  <si>
    <t xml:space="preserve">Part Lay Three</t>
  </si>
  <si>
    <t xml:space="preserve">     Outcome of qualifying bet:</t>
  </si>
  <si>
    <t xml:space="preserve">Not placed</t>
  </si>
  <si>
    <t xml:space="preserve">     Outcome of first bonus bet:</t>
  </si>
  <si>
    <t xml:space="preserve">     Outcome of second bonus bet:</t>
  </si>
  <si>
    <t xml:space="preserve">Overall Results</t>
  </si>
  <si>
    <t xml:space="preserve">Results for Bonus Wagering Bet 1</t>
  </si>
  <si>
    <t xml:space="preserve">Results for Bonus Wagering Bet 2</t>
  </si>
  <si>
    <t xml:space="preserve">Position After the Qualifying Bet Has Settled</t>
  </si>
  <si>
    <t xml:space="preserve">Position After the First Bonus Wagering Bet Has Settled</t>
  </si>
  <si>
    <t xml:space="preserve">Position After the Second Bonus Wagering Bet Has Settled</t>
  </si>
  <si>
    <t xml:space="preserve">Bet Type</t>
  </si>
  <si>
    <t xml:space="preserve">Total Wagering Required</t>
  </si>
  <si>
    <t xml:space="preserve">Bonus Retention</t>
  </si>
  <si>
    <t xml:space="preserve">Expected Profit From Bonus</t>
  </si>
  <si>
    <t xml:space="preserve">Part Lay Odds 1</t>
  </si>
  <si>
    <t xml:space="preserve">Part Lay Stake 1</t>
  </si>
  <si>
    <t xml:space="preserve">Part Lay Commission 1</t>
  </si>
  <si>
    <t xml:space="preserve">Part Lay Odds 2</t>
  </si>
  <si>
    <t xml:space="preserve">Part Lay Stake 2</t>
  </si>
  <si>
    <t xml:space="preserve">Part Lay Commission 2</t>
  </si>
  <si>
    <t xml:space="preserve">Part Lay Odds 3</t>
  </si>
  <si>
    <t xml:space="preserve">Part Lay Stake 3</t>
  </si>
  <si>
    <t xml:space="preserve">Part Lay Commission 3</t>
  </si>
  <si>
    <t xml:space="preserve">Lay Stake (Normal Bet)</t>
  </si>
  <si>
    <t xml:space="preserve">Lay Stake (Free Bet SNR)</t>
  </si>
  <si>
    <t xml:space="preserve">Liability</t>
  </si>
  <si>
    <t xml:space="preserve">Bookmaker Position</t>
  </si>
  <si>
    <t xml:space="preserve">Exchange Position</t>
  </si>
  <si>
    <t xml:space="preserve">Bookmaker Win Position</t>
  </si>
  <si>
    <t xml:space="preserve">Exchange Win Overall Position (Normal Bet)</t>
  </si>
  <si>
    <t xml:space="preserve">Exchange Win Overall Position (Free Bet (SNR))</t>
  </si>
  <si>
    <t xml:space="preserve">Exchange Win Position</t>
  </si>
  <si>
    <t xml:space="preserve">Loss If Exchange Lay Wins (not including bonus) – Normal Bet</t>
  </si>
  <si>
    <t xml:space="preserve">Gain If Exchange Lay Wins (not including bonus) – Free Bet</t>
  </si>
  <si>
    <t xml:space="preserve">Text for Exchange Lay Win Position (Normal Mode)</t>
  </si>
  <si>
    <t xml:space="preserve">Text for Exchange Lay Win Position (Free Bet SNR Mode)</t>
  </si>
  <si>
    <t xml:space="preserve">Text for Exchange Lay Win Position</t>
  </si>
  <si>
    <t xml:space="preserve">'Position After the Qualifying Bet Has Settled’ Section</t>
  </si>
  <si>
    <t xml:space="preserve">Line 1 text if qualifying bet not placed or pending</t>
  </si>
  <si>
    <t xml:space="preserve">When the qualifying bet has settled, the overall position at the time will be shown in this section.</t>
  </si>
  <si>
    <t xml:space="preserve">Line 1 text if qualifying bet lost</t>
  </si>
  <si>
    <t xml:space="preserve">Line 1 text if qualifying bet won</t>
  </si>
  <si>
    <t xml:space="preserve">Line 2 text if qualifying bet not placed or pending</t>
  </si>
  <si>
    <t xml:space="preserve">Line 2 text if qualifying bet lost</t>
  </si>
  <si>
    <t xml:space="preserve">Line 2 text if qualifying bet won</t>
  </si>
  <si>
    <t xml:space="preserve">Line 3 text if qualifying bet not placed or pending</t>
  </si>
  <si>
    <t xml:space="preserve">Line 3 text if qualifying bet lost</t>
  </si>
  <si>
    <t xml:space="preserve">Line 3 text if qualifying bet won</t>
  </si>
  <si>
    <t xml:space="preserve">Line 4 text if qualifying bet not placed or pending</t>
  </si>
  <si>
    <t xml:space="preserve">Line 4 text if qualifying bet lost</t>
  </si>
  <si>
    <t xml:space="preserve">Line 4 text if qualifying bet won</t>
  </si>
  <si>
    <t xml:space="preserve">Line 1 text</t>
  </si>
  <si>
    <t xml:space="preserve">Line 2 text</t>
  </si>
  <si>
    <t xml:space="preserve">Line 3 text</t>
  </si>
  <si>
    <t xml:space="preserve">Line 4 text</t>
  </si>
  <si>
    <t xml:space="preserve">Outomes</t>
  </si>
  <si>
    <t xml:space="preserve">Did the qualifying bet win or lose?</t>
  </si>
  <si>
    <t xml:space="preserve">Did the first bonus wagering bet win or lose?</t>
  </si>
  <si>
    <t xml:space="preserve">Did the second bonus wagering bet win or lose?</t>
  </si>
  <si>
    <t xml:space="preserve">Bonus Bet 1</t>
  </si>
  <si>
    <t xml:space="preserve">Leave Bonus Wagering Bet 1 section blank?</t>
  </si>
  <si>
    <t xml:space="preserve">Exchange Lay Win Position </t>
  </si>
  <si>
    <t xml:space="preserve">Bookmaker Win Overall Position</t>
  </si>
  <si>
    <t xml:space="preserve">Exchange Lay Win Overall Position </t>
  </si>
  <si>
    <t xml:space="preserve">Rating</t>
  </si>
  <si>
    <t xml:space="preserve">Wagering left if bookmaker bet wins</t>
  </si>
  <si>
    <t xml:space="preserve">Loss from final bet assuming 97% rating</t>
  </si>
  <si>
    <t xml:space="preserve">'Position After the First Bonus Wagering Bet Has Settled’ Section</t>
  </si>
  <si>
    <t xml:space="preserve">Line 1 text if first bonus wagering bet not placed or pending</t>
  </si>
  <si>
    <t xml:space="preserve">When the first bonus bet has settled, the overall position at the time will be shown in this section.</t>
  </si>
  <si>
    <t xml:space="preserve">Line 1 text if first bonus wagering bet bet lost</t>
  </si>
  <si>
    <t xml:space="preserve">Line 1 text if first bonus wagering bet won</t>
  </si>
  <si>
    <t xml:space="preserve">Line 2 text if first bonus wagering bet not placed or pending</t>
  </si>
  <si>
    <t xml:space="preserve">Line 2 text if first bonus wagering bet lost</t>
  </si>
  <si>
    <t xml:space="preserve">Line 2 text if first bonus wagering bet won</t>
  </si>
  <si>
    <t xml:space="preserve">Line 3 text if first bonus wagering bet not placed or pending</t>
  </si>
  <si>
    <t xml:space="preserve">Line 3 text if first bonus wagering bet lost</t>
  </si>
  <si>
    <t xml:space="preserve">Line 3 text if first bonus wagering bet won</t>
  </si>
  <si>
    <t xml:space="preserve">Line 4 text if first bonus wagering bet not placed or pending</t>
  </si>
  <si>
    <t xml:space="preserve">Line 4 text if first bonus wagering bet lost</t>
  </si>
  <si>
    <t xml:space="preserve">Line 4 text if first bonus wagering bet won</t>
  </si>
  <si>
    <t xml:space="preserve">Bonus Bet 2</t>
  </si>
  <si>
    <t xml:space="preserve">Leave Bonus Wagering Bet 2 section blank?</t>
  </si>
  <si>
    <t xml:space="preserve">'Position After the Second Bonus Wagering Bet Has Settled’ Section</t>
  </si>
  <si>
    <t xml:space="preserve">Line 1 text if second bonus wagering bet not placed or pending</t>
  </si>
  <si>
    <t xml:space="preserve">Line 1 text if second bonus wagering bet bet lost</t>
  </si>
  <si>
    <t xml:space="preserve">Line 1 text if second bonus wagering bet won</t>
  </si>
  <si>
    <t xml:space="preserve">Line 2 text if second bonus wagering bet not placed or pending</t>
  </si>
  <si>
    <t xml:space="preserve">Line 2 text if second bonus wagering bet lost</t>
  </si>
  <si>
    <t xml:space="preserve">Line 2 text if second bonus wagering bet won</t>
  </si>
  <si>
    <t xml:space="preserve">Line 3 text if second bonus wagering bet not placed or pending</t>
  </si>
  <si>
    <t xml:space="preserve">Line 3 text if second bonus wagering bet lost</t>
  </si>
  <si>
    <t xml:space="preserve">Line 3 text if second bonus wagering bet won</t>
  </si>
  <si>
    <t xml:space="preserve">Line 4 text if second bonus wagering bet not placed or pending</t>
  </si>
  <si>
    <t xml:space="preserve">Line 4 text if second bonus wagering bet lost</t>
  </si>
  <si>
    <t xml:space="preserve">Line 4 text if second bonus wagering bet won</t>
  </si>
  <si>
    <t xml:space="preserve">Wins</t>
  </si>
  <si>
    <t xml:space="preserve">Free Bet (SNR)</t>
  </si>
  <si>
    <t xml:space="preserve">Pending</t>
  </si>
  <si>
    <t xml:space="preserve">Won</t>
  </si>
  <si>
    <t xml:space="preserve">Lost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</si>
</sst>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.00"/>
    <numFmt numFmtId="167" formatCode="[$£-809]#,##0.00;[RED]\-[$£-809]#,##0.00"/>
    <numFmt numFmtId="168" formatCode="@"/>
    <numFmt numFmtId="169" formatCode="&quot;TRUE&quot;;&quot;TRUE&quot;;&quot;FALSE&quot;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D7ECFA"/>
      <name val="Calibri"/>
      <family val="2"/>
      <charset val="1"/>
    </font>
    <font>
      <sz val="11"/>
      <color rgb="FFFDDEE5"/>
      <name val="Calibri"/>
      <family val="2"/>
      <charset val="1"/>
    </font>
    <font>
      <sz val="11"/>
      <color rgb="FFFFF2CC"/>
      <name val="Calibri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7ECFA"/>
        <bgColor rgb="FFEEEEEE"/>
      </patternFill>
    </fill>
    <fill>
      <patternFill patternType="solid">
        <fgColor rgb="FFFDDEE5"/>
        <bgColor rgb="FFEEEEEE"/>
      </patternFill>
    </fill>
    <fill>
      <patternFill patternType="solid">
        <fgColor rgb="FFFFF2CC"/>
        <bgColor rgb="FFEEEEEE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D7ECFA"/>
      </patternFill>
    </fill>
    <fill>
      <patternFill patternType="solid">
        <fgColor rgb="FFFBB3BF"/>
        <bgColor rgb="FFFDDEE5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FBB3BF"/>
      </left>
      <right/>
      <top style="thin">
        <color rgb="FFFBB3BF"/>
      </top>
      <bottom/>
      <diagonal/>
    </border>
    <border diagonalUp="false" diagonalDown="false">
      <left/>
      <right/>
      <top style="thin">
        <color rgb="FFFBB3BF"/>
      </top>
      <bottom/>
      <diagonal/>
    </border>
    <border diagonalUp="false" diagonalDown="false">
      <left/>
      <right style="thin">
        <color rgb="FFFBB3BF"/>
      </right>
      <top style="thin">
        <color rgb="FFFBB3BF"/>
      </top>
      <bottom/>
      <diagonal/>
    </border>
    <border diagonalUp="false" diagonalDown="false">
      <left style="thin">
        <color rgb="FFFBB3BF"/>
      </left>
      <right/>
      <top/>
      <bottom/>
      <diagonal/>
    </border>
    <border diagonalUp="false" diagonalDown="false">
      <left/>
      <right style="thin">
        <color rgb="FFFBB3BF"/>
      </right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/>
      <diagonal/>
    </border>
    <border diagonalUp="false" diagonalDown="false">
      <left/>
      <right/>
      <top style="thin">
        <color rgb="FFD9D9D9"/>
      </top>
      <bottom/>
      <diagonal/>
    </border>
    <border diagonalUp="false" diagonalDown="false">
      <left/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 style="thin">
        <color rgb="FFD9D9D9"/>
      </right>
      <top/>
      <bottom/>
      <diagonal/>
    </border>
    <border diagonalUp="false" diagonalDown="false">
      <left style="thin">
        <color rgb="FFD9D9D9"/>
      </left>
      <right/>
      <top/>
      <bottom style="thin">
        <color rgb="FFD9D9D9"/>
      </bottom>
      <diagonal/>
    </border>
    <border diagonalUp="false" diagonalDown="false">
      <left/>
      <right/>
      <top/>
      <bottom style="thin">
        <color rgb="FFD9D9D9"/>
      </bottom>
      <diagonal/>
    </border>
    <border diagonalUp="false" diagonalDown="false">
      <left/>
      <right style="thin">
        <color rgb="FFD9D9D9"/>
      </right>
      <top/>
      <bottom style="thin">
        <color rgb="FFD9D9D9"/>
      </bottom>
      <diagonal/>
    </border>
    <border diagonalUp="false" diagonalDown="false">
      <left/>
      <right/>
      <top style="thin">
        <color rgb="FFB4C7E7"/>
      </top>
      <bottom/>
      <diagonal/>
    </border>
    <border diagonalUp="false" diagonalDown="false">
      <left style="thin">
        <color rgb="FFB4C7E7"/>
      </left>
      <right/>
      <top style="thin">
        <color rgb="FFB4C7E7"/>
      </top>
      <bottom/>
      <diagonal/>
    </border>
    <border diagonalUp="false" diagonalDown="false">
      <left style="thin">
        <color rgb="FFFBB3BF"/>
      </left>
      <right style="thin">
        <color rgb="FFFBB3BF"/>
      </right>
      <top/>
      <bottom/>
      <diagonal/>
    </border>
    <border diagonalUp="false" diagonalDown="false">
      <left style="thin">
        <color rgb="FFB4C7E7"/>
      </left>
      <right/>
      <top/>
      <bottom/>
      <diagonal/>
    </border>
    <border diagonalUp="false" diagonalDown="false">
      <left style="thin">
        <color rgb="FFFBB3BF"/>
      </left>
      <right style="thin">
        <color rgb="FFFBB3BF"/>
      </right>
      <top style="thin">
        <color rgb="FFFBB3BF"/>
      </top>
      <bottom style="thin">
        <color rgb="FFFBB3BF"/>
      </bottom>
      <diagonal/>
    </border>
    <border diagonalUp="false" diagonalDown="false">
      <left/>
      <right style="thin">
        <color rgb="FFB4C7E7"/>
      </right>
      <top/>
      <bottom/>
      <diagonal/>
    </border>
    <border diagonalUp="false" diagonalDown="false">
      <left style="thin">
        <color rgb="FFB4C7E7"/>
      </left>
      <right/>
      <top/>
      <bottom style="thin">
        <color rgb="FFB4C7E7"/>
      </bottom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/>
      <right style="thin">
        <color rgb="FFB4C7E7"/>
      </right>
      <top/>
      <bottom style="thin">
        <color rgb="FFB4C7E7"/>
      </bottom>
      <diagonal/>
    </border>
    <border diagonalUp="false" diagonalDown="false">
      <left style="thin">
        <color rgb="FF84C4F1"/>
      </left>
      <right style="thin">
        <color rgb="FFD9D9D9"/>
      </right>
      <top style="thin">
        <color rgb="FF84C4F1"/>
      </top>
      <bottom style="thin">
        <color rgb="FF84C4F1"/>
      </bottom>
      <diagonal/>
    </border>
    <border diagonalUp="false" diagonalDown="false">
      <left style="thin">
        <color rgb="FFD9D9D9"/>
      </left>
      <right style="thin">
        <color rgb="FF84C4F1"/>
      </right>
      <top style="thin">
        <color rgb="FF84C4F1"/>
      </top>
      <bottom style="thin">
        <color rgb="FF84C4F1"/>
      </bottom>
      <diagonal/>
    </border>
    <border diagonalUp="false" diagonalDown="false">
      <left style="thin">
        <color rgb="FFFBB3BF"/>
      </left>
      <right/>
      <top/>
      <bottom style="thin">
        <color rgb="FFFBB3BF"/>
      </bottom>
      <diagonal/>
    </border>
    <border diagonalUp="false" diagonalDown="false">
      <left/>
      <right/>
      <top/>
      <bottom style="thin">
        <color rgb="FFFBB3BF"/>
      </bottom>
      <diagonal/>
    </border>
    <border diagonalUp="false" diagonalDown="false">
      <left/>
      <right style="thin">
        <color rgb="FFFBB3BF"/>
      </right>
      <top/>
      <bottom style="thin">
        <color rgb="FFFBB3BF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false">
      <alignment horizontal="general" vertical="bottom" textRotation="0" wrapText="false" indent="0" shrinkToFit="false"/>
    </xf>
    <xf numFmtId="164" fontId="5" fillId="3" borderId="0" applyFont="true" applyBorder="true" applyAlignment="true" applyProtection="false">
      <alignment horizontal="general" vertical="bottom" textRotation="0" wrapText="false" indent="0" shrinkToFit="false"/>
    </xf>
    <xf numFmtId="164" fontId="6" fillId="4" borderId="0" applyFont="true" applyBorder="tru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6" borderId="19" xfId="21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5" fillId="3" borderId="0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5" xfId="21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0" fillId="4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4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4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4" borderId="0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10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0" xfId="22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4" borderId="1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ll Blue" xfId="20"/>
    <cellStyle name="All Pink" xfId="21"/>
    <cellStyle name="All Yellow" xfId="22"/>
  </cellStyles>
  <dxfs count="7">
    <dxf>
      <font>
        <name val="Calibri"/>
        <charset val="1"/>
        <family val="2"/>
        <color rgb="FFFDDEE5"/>
        <sz val="11"/>
      </font>
      <fill>
        <patternFill>
          <bgColor rgb="FFFDDEE5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color rgb="FFFFF2CC"/>
        <sz val="11"/>
      </font>
      <fill>
        <patternFill>
          <bgColor rgb="FFFFF2CC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FDDEE5"/>
        <sz val="11"/>
        <u val="none"/>
      </font>
      <numFmt numFmtId="164" formatCode="General"/>
      <fill>
        <patternFill>
          <bgColor rgb="FFFDDEE5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FDDEE5"/>
        <sz val="11"/>
        <u val="none"/>
      </font>
      <numFmt numFmtId="164" formatCode="General"/>
      <fill>
        <patternFill>
          <bgColor rgb="FFFDDEE5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FFF2CC"/>
        <sz val="11"/>
        <u val="none"/>
      </font>
      <numFmt numFmtId="164" formatCode="General"/>
      <fill>
        <patternFill>
          <bgColor rgb="FFFFF2CC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D7ECFA"/>
        <sz val="11"/>
        <u val="none"/>
      </font>
      <numFmt numFmtId="164" formatCode="General"/>
      <fill>
        <patternFill>
          <bgColor rgb="FFD7ECFA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color rgb="FFD7ECFA"/>
        <sz val="11"/>
      </font>
      <fill>
        <patternFill>
          <bgColor rgb="FFD7ECFA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D7ECF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84C4F1"/>
      <rgbColor rgb="FFFBB3BF"/>
      <rgbColor rgb="FFCC99FF"/>
      <rgbColor rgb="FFFDDEE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U6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2.57"/>
    <col collapsed="false" customWidth="true" hidden="false" outlineLevel="0" max="3" min="3" style="1" width="2"/>
    <col collapsed="false" customWidth="true" hidden="false" outlineLevel="0" max="4" min="4" style="1" width="18"/>
    <col collapsed="false" customWidth="true" hidden="false" outlineLevel="0" max="5" min="5" style="1" width="4.71"/>
    <col collapsed="false" customWidth="true" hidden="false" outlineLevel="0" max="6" min="6" style="1" width="15.29"/>
    <col collapsed="false" customWidth="true" hidden="false" outlineLevel="0" max="7" min="7" style="1" width="19.57"/>
    <col collapsed="false" customWidth="false" hidden="false" outlineLevel="0" max="8" min="8" style="1" width="9.13"/>
    <col collapsed="false" customWidth="true" hidden="false" outlineLevel="0" max="9" min="9" style="1" width="8.87"/>
    <col collapsed="false" customWidth="true" hidden="false" outlineLevel="0" max="10" min="10" style="1" width="5.09"/>
    <col collapsed="false" customWidth="true" hidden="false" outlineLevel="0" max="11" min="11" style="1" width="4.86"/>
    <col collapsed="false" customWidth="true" hidden="false" outlineLevel="0" max="12" min="12" style="1" width="10.43"/>
    <col collapsed="false" customWidth="true" hidden="false" outlineLevel="0" max="13" min="13" style="1" width="4.43"/>
    <col collapsed="false" customWidth="true" hidden="false" outlineLevel="0" max="14" min="14" style="1" width="2"/>
    <col collapsed="false" customWidth="true" hidden="false" outlineLevel="0" max="15" min="15" style="1" width="2.57"/>
    <col collapsed="false" customWidth="true" hidden="false" outlineLevel="0" max="16" min="16" style="1" width="4.29"/>
    <col collapsed="false" customWidth="true" hidden="false" outlineLevel="0" max="17" min="17" style="1" width="2.57"/>
    <col collapsed="false" customWidth="true" hidden="false" outlineLevel="0" max="18" min="18" style="1" width="2"/>
    <col collapsed="false" customWidth="true" hidden="false" outlineLevel="0" max="19" min="19" style="1" width="18"/>
    <col collapsed="false" customWidth="true" hidden="false" outlineLevel="0" max="20" min="20" style="1" width="4.71"/>
    <col collapsed="false" customWidth="true" hidden="false" outlineLevel="0" max="21" min="21" style="1" width="15.29"/>
    <col collapsed="false" customWidth="true" hidden="false" outlineLevel="0" max="22" min="22" style="1" width="23.99"/>
    <col collapsed="false" customWidth="false" hidden="false" outlineLevel="0" max="23" min="23" style="1" width="9.13"/>
    <col collapsed="false" customWidth="true" hidden="false" outlineLevel="0" max="24" min="24" style="1" width="8.87"/>
    <col collapsed="false" customWidth="true" hidden="false" outlineLevel="0" max="25" min="25" style="1" width="5.09"/>
    <col collapsed="false" customWidth="true" hidden="false" outlineLevel="0" max="26" min="26" style="1" width="4.86"/>
    <col collapsed="false" customWidth="true" hidden="false" outlineLevel="0" max="27" min="27" style="1" width="10.43"/>
    <col collapsed="false" customWidth="true" hidden="false" outlineLevel="0" max="28" min="28" style="1" width="4.43"/>
    <col collapsed="false" customWidth="true" hidden="false" outlineLevel="0" max="29" min="29" style="1" width="2"/>
    <col collapsed="false" customWidth="true" hidden="false" outlineLevel="0" max="30" min="30" style="1" width="2.57"/>
    <col collapsed="false" customWidth="true" hidden="false" outlineLevel="0" max="31" min="31" style="1" width="4.29"/>
    <col collapsed="false" customWidth="true" hidden="false" outlineLevel="0" max="32" min="32" style="1" width="2.57"/>
    <col collapsed="false" customWidth="true" hidden="false" outlineLevel="0" max="33" min="33" style="1" width="2"/>
    <col collapsed="false" customWidth="true" hidden="false" outlineLevel="0" max="34" min="34" style="1" width="18"/>
    <col collapsed="false" customWidth="true" hidden="false" outlineLevel="0" max="35" min="35" style="1" width="4.71"/>
    <col collapsed="false" customWidth="true" hidden="false" outlineLevel="0" max="36" min="36" style="1" width="15.29"/>
    <col collapsed="false" customWidth="true" hidden="false" outlineLevel="0" max="37" min="37" style="1" width="23.99"/>
    <col collapsed="false" customWidth="false" hidden="false" outlineLevel="0" max="38" min="38" style="1" width="9.13"/>
    <col collapsed="false" customWidth="true" hidden="false" outlineLevel="0" max="39" min="39" style="1" width="8.87"/>
    <col collapsed="false" customWidth="true" hidden="false" outlineLevel="0" max="40" min="40" style="1" width="5.09"/>
    <col collapsed="false" customWidth="true" hidden="false" outlineLevel="0" max="41" min="41" style="1" width="4.86"/>
    <col collapsed="false" customWidth="true" hidden="false" outlineLevel="0" max="42" min="42" style="1" width="10.43"/>
    <col collapsed="false" customWidth="true" hidden="false" outlineLevel="0" max="43" min="43" style="1" width="4.43"/>
    <col collapsed="false" customWidth="true" hidden="false" outlineLevel="0" max="44" min="44" style="1" width="2"/>
    <col collapsed="false" customWidth="true" hidden="false" outlineLevel="0" max="45" min="45" style="1" width="2.57"/>
    <col collapsed="false" customWidth="false" hidden="false" outlineLevel="0" max="1011" min="46" style="1" width="9.13"/>
    <col collapsed="false" customWidth="true" hidden="false" outlineLevel="0" max="1024" min="1012" style="1" width="11.52"/>
  </cols>
  <sheetData>
    <row r="1" customFormat="false" ht="13.35" hidden="false" customHeight="true" outlineLevel="0" collapsed="false"/>
    <row r="2" customFormat="false" ht="6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F2" s="2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customFormat="false" ht="29.25" hidden="false" customHeight="true" outlineLevel="0" collapsed="false">
      <c r="B3" s="5"/>
      <c r="C3" s="6"/>
      <c r="D3" s="7" t="s">
        <v>0</v>
      </c>
      <c r="E3" s="7"/>
      <c r="F3" s="7"/>
      <c r="G3" s="7"/>
      <c r="H3" s="7"/>
      <c r="I3" s="7"/>
      <c r="J3" s="7"/>
      <c r="K3" s="7"/>
      <c r="L3" s="7"/>
      <c r="M3" s="7"/>
      <c r="N3" s="6"/>
      <c r="O3" s="8"/>
      <c r="Q3" s="5"/>
      <c r="R3" s="6"/>
      <c r="S3" s="7" t="s">
        <v>1</v>
      </c>
      <c r="T3" s="7"/>
      <c r="U3" s="7"/>
      <c r="V3" s="7"/>
      <c r="W3" s="7"/>
      <c r="X3" s="7"/>
      <c r="Y3" s="7"/>
      <c r="Z3" s="7"/>
      <c r="AA3" s="7"/>
      <c r="AB3" s="7"/>
      <c r="AC3" s="6"/>
      <c r="AD3" s="8"/>
      <c r="AF3" s="5"/>
      <c r="AG3" s="6"/>
      <c r="AH3" s="7" t="s">
        <v>2</v>
      </c>
      <c r="AI3" s="7"/>
      <c r="AJ3" s="7"/>
      <c r="AK3" s="7"/>
      <c r="AL3" s="7"/>
      <c r="AM3" s="7"/>
      <c r="AN3" s="7"/>
      <c r="AO3" s="7"/>
      <c r="AP3" s="7"/>
      <c r="AQ3" s="7"/>
      <c r="AR3" s="6"/>
      <c r="AS3" s="8"/>
    </row>
    <row r="4" customFormat="false" ht="23.25" hidden="true" customHeight="true" outlineLevel="0" collapsed="false">
      <c r="B4" s="5"/>
      <c r="C4" s="6"/>
      <c r="D4" s="9" t="s">
        <v>3</v>
      </c>
      <c r="E4" s="10" t="s">
        <v>4</v>
      </c>
      <c r="F4" s="10"/>
      <c r="G4" s="6"/>
      <c r="H4" s="11" t="s">
        <v>5</v>
      </c>
      <c r="I4" s="11"/>
      <c r="J4" s="6"/>
      <c r="K4" s="12" t="s">
        <v>6</v>
      </c>
      <c r="L4" s="12"/>
      <c r="M4" s="12"/>
      <c r="N4" s="12"/>
      <c r="O4" s="8"/>
      <c r="Q4" s="5"/>
      <c r="R4" s="6"/>
      <c r="S4" s="9" t="s">
        <v>3</v>
      </c>
      <c r="T4" s="12" t="s">
        <v>4</v>
      </c>
      <c r="U4" s="12"/>
      <c r="V4" s="6"/>
      <c r="W4" s="11" t="s">
        <v>5</v>
      </c>
      <c r="X4" s="11"/>
      <c r="Y4" s="6"/>
      <c r="Z4" s="12" t="s">
        <v>6</v>
      </c>
      <c r="AA4" s="12"/>
      <c r="AB4" s="12"/>
      <c r="AC4" s="12"/>
      <c r="AD4" s="8"/>
      <c r="AF4" s="5"/>
      <c r="AG4" s="6"/>
      <c r="AH4" s="9" t="s">
        <v>3</v>
      </c>
      <c r="AI4" s="12" t="s">
        <v>4</v>
      </c>
      <c r="AJ4" s="12"/>
      <c r="AK4" s="6"/>
      <c r="AL4" s="11" t="s">
        <v>5</v>
      </c>
      <c r="AM4" s="11"/>
      <c r="AN4" s="6"/>
      <c r="AO4" s="12" t="s">
        <v>6</v>
      </c>
      <c r="AP4" s="12"/>
      <c r="AQ4" s="12"/>
      <c r="AR4" s="12"/>
      <c r="AS4" s="8"/>
    </row>
    <row r="5" customFormat="false" ht="6" hidden="false" customHeight="true" outlineLevel="0" collapsed="false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8"/>
      <c r="AF5" s="5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8"/>
    </row>
    <row r="6" customFormat="false" ht="13.8" hidden="false" customHeight="false" outlineLevel="0" collapsed="false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5"/>
      <c r="AF6" s="13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5"/>
    </row>
    <row r="7" customFormat="false" ht="27.75" hidden="false" customHeight="true" outlineLevel="0" collapsed="false">
      <c r="B7" s="13"/>
      <c r="C7" s="16" t="s">
        <v>7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5"/>
      <c r="Q7" s="13"/>
      <c r="R7" s="16" t="s">
        <v>8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5"/>
      <c r="AF7" s="13"/>
      <c r="AG7" s="16" t="s">
        <v>9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5"/>
    </row>
    <row r="8" customFormat="false" ht="13.8" hidden="false" customHeight="false" outlineLevel="0" collapsed="false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Q8" s="13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5"/>
      <c r="AF8" s="13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5"/>
    </row>
    <row r="9" customFormat="false" ht="12.75" hidden="false" customHeight="true" outlineLevel="0" collapsed="false">
      <c r="B9" s="13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15"/>
      <c r="Q9" s="13"/>
      <c r="R9" s="17"/>
      <c r="S9" s="18"/>
      <c r="T9" s="18"/>
      <c r="U9" s="18"/>
      <c r="V9" s="18"/>
      <c r="W9" s="18"/>
      <c r="X9" s="18"/>
      <c r="Y9" s="18"/>
      <c r="Z9" s="18"/>
      <c r="AA9" s="18"/>
      <c r="AB9" s="18"/>
      <c r="AC9" s="19"/>
      <c r="AD9" s="15"/>
      <c r="AF9" s="13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9"/>
      <c r="AS9" s="15"/>
    </row>
    <row r="10" customFormat="false" ht="23.25" hidden="false" customHeight="true" outlineLevel="0" collapsed="false">
      <c r="B10" s="13"/>
      <c r="C10" s="20"/>
      <c r="D10" s="21" t="s">
        <v>10</v>
      </c>
      <c r="E10" s="22" t="s">
        <v>11</v>
      </c>
      <c r="F10" s="23"/>
      <c r="G10" s="24"/>
      <c r="H10" s="25" t="s">
        <v>12</v>
      </c>
      <c r="I10" s="25"/>
      <c r="J10" s="24"/>
      <c r="K10" s="22" t="s">
        <v>11</v>
      </c>
      <c r="L10" s="23"/>
      <c r="M10" s="23"/>
      <c r="N10" s="26"/>
      <c r="O10" s="15"/>
      <c r="Q10" s="13"/>
      <c r="R10" s="20"/>
      <c r="S10" s="27" t="str">
        <f aca="false">IF(D42="","",IF(Qualifying_Result="Won","The offer is complete and you do not need to place any more bets.",IF(Qualifying_Result="Lost","Place a stake of £"&amp;Maximum_Bonus&amp;" at the bookmaker, using all of your bonus funds. Use odds of 2.0 or greater.","This section will show what to do next, depending on whether your first bet wins or loses.")))</f>
        <v/>
      </c>
      <c r="T10" s="27"/>
      <c r="U10" s="27"/>
      <c r="V10" s="27"/>
      <c r="W10" s="27"/>
      <c r="X10" s="27"/>
      <c r="Y10" s="27"/>
      <c r="Z10" s="27"/>
      <c r="AA10" s="27"/>
      <c r="AB10" s="27"/>
      <c r="AC10" s="26"/>
      <c r="AD10" s="15"/>
      <c r="AF10" s="13"/>
      <c r="AG10" s="20"/>
      <c r="AH10" s="27" t="str">
        <f aca="false">IF(S44="","",IF(Outcome_Of_First_Bonus_Bet="Lost","The offer is complete and you do not need to place any more bets.",IF(Outcome_Of_First_Bonus_Bet="Won","Place a stake of £"&amp;Calculations!B83&amp;" at the bookmaker. Use odds of 1.4 or greater.","This section will show what to do next, depending on whether your first bet wins or loses.")))</f>
        <v/>
      </c>
      <c r="AI10" s="27"/>
      <c r="AJ10" s="27"/>
      <c r="AK10" s="27"/>
      <c r="AL10" s="27"/>
      <c r="AM10" s="27"/>
      <c r="AN10" s="27"/>
      <c r="AO10" s="27"/>
      <c r="AP10" s="27"/>
      <c r="AQ10" s="27"/>
      <c r="AR10" s="26"/>
      <c r="AS10" s="15"/>
    </row>
    <row r="11" customFormat="false" ht="13.8" hidden="false" customHeight="true" outlineLevel="0" collapsed="false">
      <c r="B11" s="13"/>
      <c r="C11" s="20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6"/>
      <c r="O11" s="15"/>
      <c r="Q11" s="13"/>
      <c r="R11" s="2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6"/>
      <c r="AD11" s="15"/>
      <c r="AF11" s="13"/>
      <c r="AG11" s="20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6"/>
      <c r="AS11" s="15"/>
    </row>
    <row r="12" customFormat="false" ht="23.25" hidden="false" customHeight="true" outlineLevel="0" collapsed="false">
      <c r="B12" s="13"/>
      <c r="C12" s="20"/>
      <c r="D12" s="25" t="s">
        <v>13</v>
      </c>
      <c r="E12" s="28"/>
      <c r="F12" s="28"/>
      <c r="G12" s="24"/>
      <c r="H12" s="25" t="s">
        <v>14</v>
      </c>
      <c r="I12" s="25"/>
      <c r="J12" s="24"/>
      <c r="K12" s="23"/>
      <c r="L12" s="23"/>
      <c r="M12" s="22" t="s">
        <v>15</v>
      </c>
      <c r="N12" s="26"/>
      <c r="O12" s="15"/>
      <c r="P12" s="14"/>
      <c r="Q12" s="13"/>
      <c r="R12" s="20"/>
      <c r="S12" s="25" t="s">
        <v>10</v>
      </c>
      <c r="T12" s="22" t="s">
        <v>11</v>
      </c>
      <c r="U12" s="23"/>
      <c r="V12" s="24"/>
      <c r="W12" s="25" t="s">
        <v>13</v>
      </c>
      <c r="X12" s="25"/>
      <c r="Y12" s="24"/>
      <c r="Z12" s="28"/>
      <c r="AA12" s="28"/>
      <c r="AB12" s="28"/>
      <c r="AC12" s="26"/>
      <c r="AD12" s="15"/>
      <c r="AF12" s="13"/>
      <c r="AG12" s="20"/>
      <c r="AH12" s="25" t="s">
        <v>10</v>
      </c>
      <c r="AI12" s="22" t="s">
        <v>11</v>
      </c>
      <c r="AJ12" s="23"/>
      <c r="AK12" s="24"/>
      <c r="AL12" s="25" t="s">
        <v>13</v>
      </c>
      <c r="AM12" s="25"/>
      <c r="AN12" s="24"/>
      <c r="AO12" s="28"/>
      <c r="AP12" s="28"/>
      <c r="AQ12" s="28"/>
      <c r="AR12" s="26"/>
      <c r="AS12" s="15"/>
    </row>
    <row r="13" customFormat="false" ht="13.8" hidden="true" customHeight="true" outlineLevel="0" collapsed="false">
      <c r="B13" s="13"/>
      <c r="C13" s="20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6"/>
      <c r="O13" s="15"/>
      <c r="P13" s="14"/>
      <c r="Q13" s="13"/>
      <c r="R13" s="2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6"/>
      <c r="AD13" s="15"/>
      <c r="AF13" s="13"/>
      <c r="AG13" s="20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6"/>
      <c r="AS13" s="15"/>
    </row>
    <row r="14" customFormat="false" ht="23.25" hidden="true" customHeight="true" outlineLevel="0" collapsed="false">
      <c r="B14" s="13"/>
      <c r="C14" s="20"/>
      <c r="D14" s="24"/>
      <c r="E14" s="24"/>
      <c r="F14" s="24"/>
      <c r="G14" s="24"/>
      <c r="H14" s="29" t="s">
        <v>16</v>
      </c>
      <c r="I14" s="24"/>
      <c r="J14" s="24"/>
      <c r="K14" s="23"/>
      <c r="L14" s="23"/>
      <c r="M14" s="22" t="s">
        <v>15</v>
      </c>
      <c r="N14" s="26"/>
      <c r="O14" s="15"/>
      <c r="P14" s="14"/>
      <c r="Q14" s="13"/>
      <c r="R14" s="20"/>
      <c r="S14" s="24"/>
      <c r="T14" s="24"/>
      <c r="U14" s="24"/>
      <c r="V14" s="24"/>
      <c r="W14" s="29" t="s">
        <v>16</v>
      </c>
      <c r="X14" s="24"/>
      <c r="Y14" s="24"/>
      <c r="Z14" s="23" t="n">
        <v>0</v>
      </c>
      <c r="AA14" s="23"/>
      <c r="AB14" s="22" t="s">
        <v>15</v>
      </c>
      <c r="AC14" s="26"/>
      <c r="AD14" s="15"/>
      <c r="AF14" s="13"/>
      <c r="AG14" s="20"/>
      <c r="AH14" s="24"/>
      <c r="AI14" s="24"/>
      <c r="AJ14" s="24"/>
      <c r="AK14" s="24"/>
      <c r="AL14" s="29" t="s">
        <v>16</v>
      </c>
      <c r="AM14" s="24"/>
      <c r="AN14" s="24"/>
      <c r="AO14" s="23" t="n">
        <v>0</v>
      </c>
      <c r="AP14" s="23"/>
      <c r="AQ14" s="22" t="s">
        <v>15</v>
      </c>
      <c r="AR14" s="26"/>
      <c r="AS14" s="15"/>
    </row>
    <row r="15" customFormat="false" ht="15" hidden="false" customHeight="true" outlineLevel="0" collapsed="false">
      <c r="B15" s="13"/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15"/>
      <c r="P15" s="14"/>
      <c r="Q15" s="13"/>
      <c r="R15" s="30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2"/>
      <c r="AD15" s="15"/>
      <c r="AF15" s="13"/>
      <c r="AG15" s="30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2"/>
      <c r="AS15" s="15"/>
    </row>
    <row r="16" customFormat="false" ht="13.8" hidden="false" customHeight="false" outlineLevel="0" collapsed="false">
      <c r="B16" s="13"/>
      <c r="C16" s="14"/>
      <c r="D16" s="3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3"/>
      <c r="R16" s="14"/>
      <c r="S16" s="33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F16" s="13"/>
      <c r="AG16" s="14"/>
      <c r="AH16" s="33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5"/>
    </row>
    <row r="17" customFormat="false" ht="15" hidden="false" customHeight="true" outlineLevel="0" collapsed="false">
      <c r="B17" s="1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14"/>
      <c r="Q17" s="13"/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  <c r="AF17" s="13"/>
      <c r="AG17" s="34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6"/>
    </row>
    <row r="18" customFormat="false" ht="23.25" hidden="false" customHeight="true" outlineLevel="0" collapsed="false">
      <c r="B18" s="13"/>
      <c r="C18" s="37"/>
      <c r="D18" s="38" t="s">
        <v>17</v>
      </c>
      <c r="E18" s="39"/>
      <c r="F18" s="39"/>
      <c r="G18" s="40"/>
      <c r="H18" s="38" t="s">
        <v>18</v>
      </c>
      <c r="I18" s="38"/>
      <c r="J18" s="41"/>
      <c r="K18" s="39"/>
      <c r="L18" s="39"/>
      <c r="M18" s="42" t="s">
        <v>15</v>
      </c>
      <c r="N18" s="43"/>
      <c r="O18" s="15"/>
      <c r="Q18" s="13"/>
      <c r="R18" s="37"/>
      <c r="S18" s="44" t="s">
        <v>17</v>
      </c>
      <c r="T18" s="45"/>
      <c r="U18" s="45"/>
      <c r="V18" s="46"/>
      <c r="W18" s="47" t="s">
        <v>18</v>
      </c>
      <c r="X18" s="47"/>
      <c r="Y18" s="48"/>
      <c r="Z18" s="45"/>
      <c r="AA18" s="45"/>
      <c r="AB18" s="49" t="s">
        <v>15</v>
      </c>
      <c r="AC18" s="43"/>
      <c r="AD18" s="15"/>
      <c r="AF18" s="13"/>
      <c r="AG18" s="37"/>
      <c r="AH18" s="44" t="s">
        <v>17</v>
      </c>
      <c r="AI18" s="45"/>
      <c r="AJ18" s="45"/>
      <c r="AK18" s="46"/>
      <c r="AL18" s="47" t="s">
        <v>18</v>
      </c>
      <c r="AM18" s="47"/>
      <c r="AN18" s="48"/>
      <c r="AO18" s="45"/>
      <c r="AP18" s="45"/>
      <c r="AQ18" s="49" t="s">
        <v>15</v>
      </c>
      <c r="AR18" s="43"/>
      <c r="AS18" s="15"/>
    </row>
    <row r="19" customFormat="false" ht="13.8" hidden="false" customHeight="false" outlineLevel="0" collapsed="false">
      <c r="B19" s="13"/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15"/>
      <c r="Q19" s="13"/>
      <c r="R19" s="50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  <c r="AD19" s="15"/>
      <c r="AF19" s="13"/>
      <c r="AG19" s="50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2"/>
      <c r="AS19" s="15"/>
    </row>
    <row r="20" customFormat="false" ht="13.8" hidden="true" customHeight="false" outlineLevel="0" collapsed="false"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Q20" s="13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5"/>
      <c r="AF20" s="13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5"/>
    </row>
    <row r="21" customFormat="false" ht="30.35" hidden="true" customHeight="true" outlineLevel="0" collapsed="false">
      <c r="B21" s="13"/>
      <c r="C21" s="53" t="s">
        <v>19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15"/>
      <c r="Q21" s="13"/>
      <c r="R21" s="53" t="s">
        <v>19</v>
      </c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15"/>
      <c r="AF21" s="13"/>
      <c r="AG21" s="53" t="s">
        <v>19</v>
      </c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15"/>
    </row>
    <row r="22" customFormat="false" ht="13.8" hidden="true" customHeight="false" outlineLevel="0" collapsed="false">
      <c r="B22" s="13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15"/>
      <c r="Q22" s="13"/>
      <c r="R22" s="34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15"/>
      <c r="AF22" s="13"/>
      <c r="AG22" s="34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15"/>
    </row>
    <row r="23" customFormat="false" ht="21.75" hidden="true" customHeight="true" outlineLevel="0" collapsed="false">
      <c r="B23" s="13"/>
      <c r="C23" s="37"/>
      <c r="D23" s="54" t="s">
        <v>20</v>
      </c>
      <c r="E23" s="54"/>
      <c r="F23" s="54"/>
      <c r="G23" s="54"/>
      <c r="H23" s="54"/>
      <c r="I23" s="54"/>
      <c r="J23" s="54"/>
      <c r="K23" s="54"/>
      <c r="L23" s="54"/>
      <c r="M23" s="54"/>
      <c r="N23" s="40"/>
      <c r="O23" s="15"/>
      <c r="Q23" s="13"/>
      <c r="R23" s="37"/>
      <c r="S23" s="54" t="s">
        <v>20</v>
      </c>
      <c r="T23" s="54"/>
      <c r="U23" s="54"/>
      <c r="V23" s="54"/>
      <c r="W23" s="54"/>
      <c r="X23" s="54"/>
      <c r="Y23" s="54"/>
      <c r="Z23" s="54"/>
      <c r="AA23" s="54"/>
      <c r="AB23" s="54"/>
      <c r="AC23" s="40"/>
      <c r="AD23" s="15"/>
      <c r="AF23" s="13"/>
      <c r="AG23" s="37"/>
      <c r="AH23" s="54" t="s">
        <v>20</v>
      </c>
      <c r="AI23" s="54"/>
      <c r="AJ23" s="54"/>
      <c r="AK23" s="54"/>
      <c r="AL23" s="54"/>
      <c r="AM23" s="54"/>
      <c r="AN23" s="54"/>
      <c r="AO23" s="54"/>
      <c r="AP23" s="54"/>
      <c r="AQ23" s="54"/>
      <c r="AR23" s="40"/>
      <c r="AS23" s="15"/>
    </row>
    <row r="24" customFormat="false" ht="13.8" hidden="true" customHeight="true" outlineLevel="0" collapsed="false">
      <c r="B24" s="13"/>
      <c r="C24" s="37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3"/>
      <c r="O24" s="15"/>
      <c r="Q24" s="13"/>
      <c r="R24" s="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3"/>
      <c r="AD24" s="15"/>
      <c r="AF24" s="13"/>
      <c r="AG24" s="37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3"/>
      <c r="AS24" s="15"/>
    </row>
    <row r="25" customFormat="false" ht="23.25" hidden="true" customHeight="true" outlineLevel="0" collapsed="false">
      <c r="B25" s="13"/>
      <c r="C25" s="37"/>
      <c r="D25" s="38" t="s">
        <v>17</v>
      </c>
      <c r="E25" s="39"/>
      <c r="F25" s="39"/>
      <c r="G25" s="40"/>
      <c r="H25" s="38" t="s">
        <v>21</v>
      </c>
      <c r="I25" s="38"/>
      <c r="J25" s="41"/>
      <c r="K25" s="55" t="s">
        <v>11</v>
      </c>
      <c r="L25" s="56"/>
      <c r="M25" s="56"/>
      <c r="N25" s="43"/>
      <c r="O25" s="15"/>
      <c r="Q25" s="13"/>
      <c r="R25" s="37"/>
      <c r="S25" s="38" t="s">
        <v>17</v>
      </c>
      <c r="T25" s="39"/>
      <c r="U25" s="39"/>
      <c r="V25" s="40"/>
      <c r="W25" s="38" t="s">
        <v>21</v>
      </c>
      <c r="X25" s="38"/>
      <c r="Y25" s="41"/>
      <c r="Z25" s="55" t="s">
        <v>11</v>
      </c>
      <c r="AA25" s="56"/>
      <c r="AB25" s="56"/>
      <c r="AC25" s="43"/>
      <c r="AD25" s="15"/>
      <c r="AF25" s="13"/>
      <c r="AG25" s="37"/>
      <c r="AH25" s="38" t="s">
        <v>17</v>
      </c>
      <c r="AI25" s="39"/>
      <c r="AJ25" s="39"/>
      <c r="AK25" s="40"/>
      <c r="AL25" s="38" t="s">
        <v>21</v>
      </c>
      <c r="AM25" s="38"/>
      <c r="AN25" s="41"/>
      <c r="AO25" s="55" t="s">
        <v>11</v>
      </c>
      <c r="AP25" s="56"/>
      <c r="AQ25" s="56"/>
      <c r="AR25" s="43"/>
      <c r="AS25" s="15"/>
    </row>
    <row r="26" customFormat="false" ht="13.8" hidden="true" customHeight="false" outlineLevel="0" collapsed="false">
      <c r="B26" s="13"/>
      <c r="C26" s="37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15"/>
      <c r="Q26" s="13"/>
      <c r="R26" s="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3"/>
      <c r="AD26" s="15"/>
      <c r="AF26" s="13"/>
      <c r="AG26" s="37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3"/>
      <c r="AS26" s="15"/>
    </row>
    <row r="27" customFormat="false" ht="21.75" hidden="true" customHeight="true" outlineLevel="0" collapsed="false">
      <c r="B27" s="13"/>
      <c r="C27" s="37"/>
      <c r="D27" s="54" t="s">
        <v>22</v>
      </c>
      <c r="E27" s="54"/>
      <c r="F27" s="54"/>
      <c r="G27" s="54"/>
      <c r="H27" s="54"/>
      <c r="I27" s="54"/>
      <c r="J27" s="54"/>
      <c r="K27" s="54"/>
      <c r="L27" s="54"/>
      <c r="M27" s="54"/>
      <c r="N27" s="43"/>
      <c r="O27" s="15"/>
      <c r="Q27" s="13"/>
      <c r="R27" s="37"/>
      <c r="S27" s="54" t="s">
        <v>22</v>
      </c>
      <c r="T27" s="54"/>
      <c r="U27" s="54"/>
      <c r="V27" s="54"/>
      <c r="W27" s="54"/>
      <c r="X27" s="54"/>
      <c r="Y27" s="54"/>
      <c r="Z27" s="54"/>
      <c r="AA27" s="54"/>
      <c r="AB27" s="54"/>
      <c r="AC27" s="43"/>
      <c r="AD27" s="15"/>
      <c r="AF27" s="13"/>
      <c r="AG27" s="37"/>
      <c r="AH27" s="54" t="s">
        <v>22</v>
      </c>
      <c r="AI27" s="54"/>
      <c r="AJ27" s="54"/>
      <c r="AK27" s="54"/>
      <c r="AL27" s="54"/>
      <c r="AM27" s="54"/>
      <c r="AN27" s="54"/>
      <c r="AO27" s="54"/>
      <c r="AP27" s="54"/>
      <c r="AQ27" s="54"/>
      <c r="AR27" s="43"/>
      <c r="AS27" s="15"/>
    </row>
    <row r="28" customFormat="false" ht="13.8" hidden="true" customHeight="false" outlineLevel="0" collapsed="false">
      <c r="B28" s="13"/>
      <c r="C28" s="3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15"/>
      <c r="Q28" s="13"/>
      <c r="R28" s="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3"/>
      <c r="AD28" s="15"/>
      <c r="AF28" s="13"/>
      <c r="AG28" s="37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3"/>
      <c r="AS28" s="15"/>
    </row>
    <row r="29" customFormat="false" ht="23.25" hidden="true" customHeight="true" outlineLevel="0" collapsed="false">
      <c r="B29" s="13"/>
      <c r="C29" s="37"/>
      <c r="D29" s="38" t="s">
        <v>17</v>
      </c>
      <c r="E29" s="39"/>
      <c r="F29" s="39"/>
      <c r="G29" s="40"/>
      <c r="H29" s="38" t="s">
        <v>21</v>
      </c>
      <c r="I29" s="38"/>
      <c r="J29" s="41"/>
      <c r="K29" s="55" t="s">
        <v>11</v>
      </c>
      <c r="L29" s="56"/>
      <c r="M29" s="56"/>
      <c r="N29" s="43"/>
      <c r="O29" s="15"/>
      <c r="Q29" s="13"/>
      <c r="R29" s="37"/>
      <c r="S29" s="38" t="s">
        <v>17</v>
      </c>
      <c r="T29" s="39"/>
      <c r="U29" s="39"/>
      <c r="V29" s="40"/>
      <c r="W29" s="38" t="s">
        <v>21</v>
      </c>
      <c r="X29" s="38"/>
      <c r="Y29" s="41"/>
      <c r="Z29" s="55" t="s">
        <v>11</v>
      </c>
      <c r="AA29" s="56"/>
      <c r="AB29" s="56"/>
      <c r="AC29" s="43"/>
      <c r="AD29" s="15"/>
      <c r="AF29" s="13"/>
      <c r="AG29" s="37"/>
      <c r="AH29" s="38" t="s">
        <v>17</v>
      </c>
      <c r="AI29" s="39"/>
      <c r="AJ29" s="39"/>
      <c r="AK29" s="40"/>
      <c r="AL29" s="38" t="s">
        <v>21</v>
      </c>
      <c r="AM29" s="38"/>
      <c r="AN29" s="41"/>
      <c r="AO29" s="55" t="s">
        <v>11</v>
      </c>
      <c r="AP29" s="56"/>
      <c r="AQ29" s="56"/>
      <c r="AR29" s="43"/>
      <c r="AS29" s="15"/>
    </row>
    <row r="30" customFormat="false" ht="13.8" hidden="true" customHeight="false" outlineLevel="0" collapsed="false">
      <c r="B30" s="13"/>
      <c r="C30" s="37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15"/>
      <c r="Q30" s="13"/>
      <c r="R30" s="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3"/>
      <c r="AD30" s="15"/>
      <c r="AF30" s="13"/>
      <c r="AG30" s="37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3"/>
      <c r="AS30" s="15"/>
    </row>
    <row r="31" customFormat="false" ht="21.75" hidden="true" customHeight="true" outlineLevel="0" collapsed="false">
      <c r="B31" s="13"/>
      <c r="C31" s="37"/>
      <c r="D31" s="54" t="s">
        <v>23</v>
      </c>
      <c r="E31" s="54"/>
      <c r="F31" s="54"/>
      <c r="G31" s="54"/>
      <c r="H31" s="54"/>
      <c r="I31" s="54"/>
      <c r="J31" s="54"/>
      <c r="K31" s="54"/>
      <c r="L31" s="54"/>
      <c r="M31" s="54"/>
      <c r="N31" s="43"/>
      <c r="O31" s="15"/>
      <c r="Q31" s="13"/>
      <c r="R31" s="37"/>
      <c r="S31" s="54" t="s">
        <v>23</v>
      </c>
      <c r="T31" s="54"/>
      <c r="U31" s="54"/>
      <c r="V31" s="54"/>
      <c r="W31" s="54"/>
      <c r="X31" s="54"/>
      <c r="Y31" s="54"/>
      <c r="Z31" s="54"/>
      <c r="AA31" s="54"/>
      <c r="AB31" s="54"/>
      <c r="AC31" s="43"/>
      <c r="AD31" s="15"/>
      <c r="AF31" s="13"/>
      <c r="AG31" s="37"/>
      <c r="AH31" s="54" t="s">
        <v>23</v>
      </c>
      <c r="AI31" s="54"/>
      <c r="AJ31" s="54"/>
      <c r="AK31" s="54"/>
      <c r="AL31" s="54"/>
      <c r="AM31" s="54"/>
      <c r="AN31" s="54"/>
      <c r="AO31" s="54"/>
      <c r="AP31" s="54"/>
      <c r="AQ31" s="54"/>
      <c r="AR31" s="43"/>
      <c r="AS31" s="15"/>
    </row>
    <row r="32" customFormat="false" ht="13.8" hidden="true" customHeight="false" outlineLevel="0" collapsed="false">
      <c r="B32" s="13"/>
      <c r="C32" s="37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15"/>
      <c r="Q32" s="13"/>
      <c r="R32" s="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3"/>
      <c r="AD32" s="15"/>
      <c r="AF32" s="13"/>
      <c r="AG32" s="37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3"/>
      <c r="AS32" s="15"/>
    </row>
    <row r="33" customFormat="false" ht="23.25" hidden="true" customHeight="true" outlineLevel="0" collapsed="false">
      <c r="B33" s="13"/>
      <c r="C33" s="37"/>
      <c r="D33" s="38" t="s">
        <v>17</v>
      </c>
      <c r="E33" s="39"/>
      <c r="F33" s="39"/>
      <c r="G33" s="40"/>
      <c r="H33" s="38" t="s">
        <v>21</v>
      </c>
      <c r="I33" s="38"/>
      <c r="J33" s="41"/>
      <c r="K33" s="55" t="s">
        <v>11</v>
      </c>
      <c r="L33" s="56"/>
      <c r="M33" s="56"/>
      <c r="N33" s="43"/>
      <c r="O33" s="15"/>
      <c r="Q33" s="13"/>
      <c r="R33" s="37"/>
      <c r="S33" s="38" t="s">
        <v>17</v>
      </c>
      <c r="T33" s="39"/>
      <c r="U33" s="39"/>
      <c r="V33" s="40"/>
      <c r="W33" s="38" t="s">
        <v>21</v>
      </c>
      <c r="X33" s="38"/>
      <c r="Y33" s="41"/>
      <c r="Z33" s="55" t="s">
        <v>11</v>
      </c>
      <c r="AA33" s="56"/>
      <c r="AB33" s="56"/>
      <c r="AC33" s="43"/>
      <c r="AD33" s="15"/>
      <c r="AF33" s="13"/>
      <c r="AG33" s="37"/>
      <c r="AH33" s="38" t="s">
        <v>17</v>
      </c>
      <c r="AI33" s="39"/>
      <c r="AJ33" s="39"/>
      <c r="AK33" s="40"/>
      <c r="AL33" s="38" t="s">
        <v>21</v>
      </c>
      <c r="AM33" s="38"/>
      <c r="AN33" s="41"/>
      <c r="AO33" s="55" t="s">
        <v>11</v>
      </c>
      <c r="AP33" s="56"/>
      <c r="AQ33" s="56"/>
      <c r="AR33" s="43"/>
      <c r="AS33" s="15"/>
    </row>
    <row r="34" customFormat="false" ht="13.8" hidden="true" customHeight="false" outlineLevel="0" collapsed="false">
      <c r="B34" s="13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2"/>
      <c r="O34" s="15"/>
      <c r="Q34" s="13"/>
      <c r="R34" s="50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2"/>
      <c r="AD34" s="15"/>
      <c r="AF34" s="13"/>
      <c r="AG34" s="50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2"/>
      <c r="AS34" s="15"/>
    </row>
    <row r="35" customFormat="false" ht="13.8" hidden="false" customHeight="false" outlineLevel="0" collapsed="false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Q35" s="13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5"/>
      <c r="AF35" s="13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5"/>
    </row>
    <row r="36" customFormat="false" ht="13.8" hidden="false" customHeight="false" outlineLevel="0" collapsed="false">
      <c r="B36" s="13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O36" s="15"/>
      <c r="Q36" s="13"/>
      <c r="R36" s="57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9"/>
      <c r="AD36" s="15"/>
      <c r="AF36" s="13"/>
      <c r="AG36" s="57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9"/>
      <c r="AS36" s="15"/>
    </row>
    <row r="37" customFormat="false" ht="23.25" hidden="false" customHeight="true" outlineLevel="0" collapsed="false">
      <c r="B37" s="13"/>
      <c r="C37" s="60"/>
      <c r="D37" s="61"/>
      <c r="E37" s="62"/>
      <c r="F37" s="63" t="s">
        <v>24</v>
      </c>
      <c r="G37" s="64"/>
      <c r="H37" s="65" t="s">
        <v>25</v>
      </c>
      <c r="I37" s="65"/>
      <c r="J37" s="64"/>
      <c r="K37" s="66"/>
      <c r="L37" s="66"/>
      <c r="M37" s="66"/>
      <c r="N37" s="67"/>
      <c r="O37" s="15"/>
      <c r="Q37" s="13"/>
      <c r="R37" s="60"/>
      <c r="S37" s="68"/>
      <c r="T37" s="69"/>
      <c r="U37" s="70" t="s">
        <v>26</v>
      </c>
      <c r="V37" s="71"/>
      <c r="W37" s="72" t="s">
        <v>25</v>
      </c>
      <c r="X37" s="72"/>
      <c r="Y37" s="71"/>
      <c r="Z37" s="73"/>
      <c r="AA37" s="73"/>
      <c r="AB37" s="73"/>
      <c r="AC37" s="67"/>
      <c r="AD37" s="15"/>
      <c r="AF37" s="13"/>
      <c r="AG37" s="60"/>
      <c r="AH37" s="68"/>
      <c r="AI37" s="69"/>
      <c r="AJ37" s="70" t="s">
        <v>27</v>
      </c>
      <c r="AK37" s="71"/>
      <c r="AL37" s="72" t="s">
        <v>25</v>
      </c>
      <c r="AM37" s="72"/>
      <c r="AN37" s="71"/>
      <c r="AO37" s="73"/>
      <c r="AP37" s="73"/>
      <c r="AQ37" s="73"/>
      <c r="AR37" s="67"/>
      <c r="AS37" s="15"/>
    </row>
    <row r="38" customFormat="false" ht="13.8" hidden="false" customHeight="false" outlineLevel="0" collapsed="false">
      <c r="B38" s="13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5"/>
      <c r="Q38" s="13"/>
      <c r="R38" s="74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6"/>
      <c r="AD38" s="15"/>
      <c r="AF38" s="13"/>
      <c r="AG38" s="74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6"/>
      <c r="AS38" s="15"/>
    </row>
    <row r="39" customFormat="false" ht="13.8" hidden="false" customHeight="true" outlineLevel="0" collapsed="false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Q39" s="13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5"/>
      <c r="AF39" s="13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5"/>
    </row>
    <row r="40" customFormat="false" ht="27.75" hidden="false" customHeight="true" outlineLevel="0" collapsed="false">
      <c r="B40" s="13"/>
      <c r="C40" s="16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5"/>
      <c r="Q40" s="13"/>
      <c r="R40" s="16" t="s">
        <v>29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5"/>
      <c r="AF40" s="13"/>
      <c r="AG40" s="16" t="s">
        <v>30</v>
      </c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5"/>
    </row>
    <row r="41" customFormat="false" ht="13.8" hidden="false" customHeight="false" outlineLevel="0" collapsed="false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Q41" s="13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5"/>
      <c r="AF41" s="13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5"/>
    </row>
    <row r="42" customFormat="false" ht="13.8" hidden="false" customHeight="false" outlineLevel="0" collapsed="false">
      <c r="B42" s="13"/>
      <c r="C42" s="14"/>
      <c r="D42" s="77" t="str">
        <f aca="false">IF(OR(F10="",L10="",K12="",K12="",E18="",K18=""),"","The below outcomes are based on the assumption that you gain £"&amp;TEXT(Expected_Profit_From_Bonus,"#0.00")&amp;" from your £"&amp;Calculations!B5&amp;" bonus, if your bet loses.")</f>
        <v/>
      </c>
      <c r="E42" s="77"/>
      <c r="F42" s="77"/>
      <c r="G42" s="77"/>
      <c r="H42" s="77"/>
      <c r="I42" s="77"/>
      <c r="J42" s="77"/>
      <c r="K42" s="77"/>
      <c r="L42" s="77"/>
      <c r="M42" s="77"/>
      <c r="N42" s="14"/>
      <c r="O42" s="15"/>
      <c r="Q42" s="13"/>
      <c r="R42" s="14"/>
      <c r="S42" s="77" t="str">
        <f aca="false">IFERROR((IF(OR(Calculations!B61="Yes",U12="",Z12="",T18="",Z18=""),"",IF(U12&lt;&gt;Maximum_Bonus,"Back Stake should be £"&amp;Maximum_Bonus&amp;".",IF(Z12&lt;2,"Please select minimum back odds of 2.0.","At odds of "&amp;Bonus_1_Lay_Odds&amp;", your lay stake is £"&amp;TEXT(Bonus_1_Lay_Stake,"#0.00")&amp;". Your liability will be £"&amp;TEXT(Bonus_1_Liability,"#0.00")&amp;".")))),"")</f>
        <v/>
      </c>
      <c r="T42" s="77"/>
      <c r="U42" s="77"/>
      <c r="V42" s="77"/>
      <c r="W42" s="77"/>
      <c r="X42" s="77"/>
      <c r="Y42" s="77"/>
      <c r="Z42" s="77"/>
      <c r="AA42" s="77"/>
      <c r="AB42" s="77"/>
      <c r="AC42" s="14"/>
      <c r="AD42" s="15"/>
      <c r="AF42" s="13"/>
      <c r="AG42" s="14"/>
      <c r="AH42" s="78" t="str">
        <f aca="false">IFERROR((IF(OR(Calculations!B105="Yes",AJ12="",AO12="",AI18="",AO18=""),"",IF(AJ12&lt;&gt;Calculations!B83,"Back Stake should be £"&amp;Calculations!B83&amp;".",IF(AO12&lt;1.4,"Please select minimum back odds of 1.4.","At odds of "&amp;Bonus_2_Lay_Odds&amp;", your lay stake is £"&amp;TEXT(Bonus_2_Lay_Stake,"#0.00")&amp;". Your liability will be £"&amp;TEXT(Bonus_2_Liability,"#0.00")&amp;".")))),"")</f>
        <v/>
      </c>
      <c r="AI42" s="78"/>
      <c r="AJ42" s="78"/>
      <c r="AK42" s="78"/>
      <c r="AL42" s="78"/>
      <c r="AM42" s="78"/>
      <c r="AN42" s="78"/>
      <c r="AO42" s="78"/>
      <c r="AP42" s="78"/>
      <c r="AQ42" s="78"/>
      <c r="AR42" s="14"/>
      <c r="AS42" s="15"/>
    </row>
    <row r="43" customFormat="false" ht="13.8" hidden="false" customHeight="false" outlineLevel="0" collapsed="false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Q43" s="13"/>
      <c r="R43" s="14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14"/>
      <c r="AD43" s="15"/>
      <c r="AF43" s="13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5"/>
    </row>
    <row r="44" customFormat="false" ht="13.8" hidden="false" customHeight="false" outlineLevel="0" collapsed="false">
      <c r="B44" s="13"/>
      <c r="C44" s="14"/>
      <c r="D44" s="77" t="str">
        <f aca="false">IFERROR(IF(D42="","","At odds of "&amp;Lay_Odds&amp;" your lay stake is £"&amp;TEXT(Lay_Stake,"#0.00")&amp;"."),"")</f>
        <v/>
      </c>
      <c r="E44" s="77"/>
      <c r="F44" s="77"/>
      <c r="G44" s="77"/>
      <c r="H44" s="77"/>
      <c r="I44" s="77"/>
      <c r="J44" s="77"/>
      <c r="K44" s="77"/>
      <c r="L44" s="77"/>
      <c r="M44" s="77"/>
      <c r="N44" s="14"/>
      <c r="O44" s="15"/>
      <c r="Q44" s="13"/>
      <c r="R44" s="14"/>
      <c r="S44" s="77" t="str">
        <f aca="false">IFERROR(IF(OR(Z12&lt;2,U12&lt;&gt;Maximum_Bonus,Calculations!B61="Yes",U12="",Z12="",T18="",Z18=""),"",IF(Calculations!B80&lt;0,"If the Bookmaker Bet wins, your overall position for this bet will be -£"&amp;TEXT(Calculations!C80,"#0.00")&amp;".","If the Bookmaker Bet wins, your overall position for this bet will be £"&amp;TEXT(Calculations!C80,"#0.00")&amp;".")),"")</f>
        <v/>
      </c>
      <c r="T44" s="77"/>
      <c r="U44" s="77"/>
      <c r="V44" s="77"/>
      <c r="W44" s="77"/>
      <c r="X44" s="77"/>
      <c r="Y44" s="77"/>
      <c r="Z44" s="77"/>
      <c r="AA44" s="77"/>
      <c r="AB44" s="77"/>
      <c r="AC44" s="14"/>
      <c r="AD44" s="15"/>
      <c r="AF44" s="13"/>
      <c r="AG44" s="14"/>
      <c r="AH44" s="78" t="str">
        <f aca="false">IFERROR(IF(OR(AO12&lt;1.4,AJ12&lt;&gt;Calculations!B83,Calculations!B105="Yes",AJ12="",AO12="",AI18="",AO18=""),"",IF(Calculations!B124&lt;0,"If the Bookmaker Bet wins, your overall position for this bet will be -£"&amp;TEXT(Calculations!C124,"#0.00")&amp;".","If the Bookmaker Bet wins, your overall position for this bet will be £"&amp;TEXT(Calculations!C124,"#0.00")&amp;".")),"")</f>
        <v/>
      </c>
      <c r="AI44" s="78"/>
      <c r="AJ44" s="78"/>
      <c r="AK44" s="78"/>
      <c r="AL44" s="78"/>
      <c r="AM44" s="78"/>
      <c r="AN44" s="78"/>
      <c r="AO44" s="78"/>
      <c r="AP44" s="78"/>
      <c r="AQ44" s="78"/>
      <c r="AR44" s="14"/>
      <c r="AS44" s="15"/>
    </row>
    <row r="45" customFormat="false" ht="13.8" hidden="false" customHeight="false" outlineLevel="0" collapsed="false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Q45" s="13"/>
      <c r="R45" s="14"/>
      <c r="S45" s="80" t="str">
        <f aca="false">IFERROR(IF(OR(Z12&lt;2,U12&lt;&gt;Maximum_Bonus,Calculations!B61="Yes",U12="",Z12="",T18="",Z18=""),"","Your total qualifying loss for the offer so far will be £"&amp;TEXT(Calculations!B31-Calculations!B80,"#0.00")&amp;"."),"")</f>
        <v/>
      </c>
      <c r="T45" s="80"/>
      <c r="U45" s="80"/>
      <c r="V45" s="80"/>
      <c r="W45" s="80"/>
      <c r="X45" s="80"/>
      <c r="Y45" s="80"/>
      <c r="Z45" s="80"/>
      <c r="AA45" s="80"/>
      <c r="AB45" s="80"/>
      <c r="AC45" s="14"/>
      <c r="AD45" s="15"/>
      <c r="AF45" s="13"/>
      <c r="AG45" s="14"/>
      <c r="AH45" s="80" t="str">
        <f aca="false">IFERROR(IF(OR(AO12&lt;1.4,AJ12&lt;&gt; Calculations!B83,Calculations!B105="Yes",AJ12="",AO12="",AI18="",AO18=""),"","Your total qualifying loss for the offer so far will be £"&amp;TEXT(Calculations!B31-Calculations!B80-Calculations!B124,"#0.00")&amp;"."),"")</f>
        <v/>
      </c>
      <c r="AI45" s="80"/>
      <c r="AJ45" s="80"/>
      <c r="AK45" s="80"/>
      <c r="AL45" s="80"/>
      <c r="AM45" s="80"/>
      <c r="AN45" s="80"/>
      <c r="AO45" s="80"/>
      <c r="AP45" s="80"/>
      <c r="AQ45" s="80"/>
      <c r="AR45" s="14"/>
      <c r="AS45" s="15"/>
    </row>
    <row r="46" customFormat="false" ht="13.8" hidden="false" customHeight="false" outlineLevel="0" collapsed="false">
      <c r="B46" s="13"/>
      <c r="C46" s="14"/>
      <c r="D46" s="81" t="str">
        <f aca="false">IF(D42="","","Your liability will be £"&amp;TEXT(Liability,"#0.00")&amp;".")</f>
        <v/>
      </c>
      <c r="E46" s="81"/>
      <c r="F46" s="81"/>
      <c r="G46" s="81"/>
      <c r="H46" s="81"/>
      <c r="I46" s="81"/>
      <c r="J46" s="81"/>
      <c r="K46" s="81"/>
      <c r="L46" s="81"/>
      <c r="M46" s="81"/>
      <c r="N46" s="14"/>
      <c r="O46" s="15"/>
      <c r="Q46" s="13"/>
      <c r="R46" s="14"/>
      <c r="S46" s="77" t="str">
        <f aca="false">IF(S45="","",IF(OR(Z12&lt;2,Calculations!B61="Yes",U12="",Z12="",T18="",Z18=""),"","You will have one more bet of £"&amp;TEXT(Calculations!B83,"#0.00")&amp; " required to complete wagering."))</f>
        <v/>
      </c>
      <c r="T46" s="77"/>
      <c r="U46" s="77"/>
      <c r="V46" s="77"/>
      <c r="W46" s="77"/>
      <c r="X46" s="77"/>
      <c r="Y46" s="77"/>
      <c r="Z46" s="77"/>
      <c r="AA46" s="77"/>
      <c r="AB46" s="77"/>
      <c r="AC46" s="14"/>
      <c r="AD46" s="15"/>
      <c r="AF46" s="13"/>
      <c r="AG46" s="14"/>
      <c r="AH46" s="77" t="str">
        <f aca="false">IF(AH45="","",IF(OR(AO12&lt;1.4,Calculations!B105="Yes",AJ12="",AO12="",AI18="",AO18=""),"","Your wagering is complete and your bonus funds will be converted to withdrawable cash."))</f>
        <v/>
      </c>
      <c r="AI46" s="77"/>
      <c r="AJ46" s="77"/>
      <c r="AK46" s="77"/>
      <c r="AL46" s="77"/>
      <c r="AM46" s="77"/>
      <c r="AN46" s="77"/>
      <c r="AO46" s="77"/>
      <c r="AP46" s="77"/>
      <c r="AQ46" s="77"/>
      <c r="AR46" s="14"/>
      <c r="AS46" s="15"/>
    </row>
    <row r="47" customFormat="false" ht="13.8" hidden="false" customHeight="false" outlineLevel="0" collapsed="false">
      <c r="B47" s="13"/>
      <c r="C47" s="14"/>
      <c r="D47" s="8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Q47" s="13"/>
      <c r="R47" s="14"/>
      <c r="S47" s="80" t="str">
        <f aca="false">IFERROR(IF(OR(Z12&lt;2,U12&lt;&gt;Maximum_Bonus,Calculations!B61="Yes",U12="",Z12="",T18="",Z18=""),"","Assuming a rating of 97% on this final bet, your total qualifying loss will be £"&amp;TEXT(Calculations!B31-Calculations!B80+Calculations!B84,"#0.00")&amp;". Overall offer profit will be £"&amp;TEXT(Maximum_Bonus-(Calculations!B31-Calculations!B80+Calculations!B84),"#0.00")&amp;"."),"")</f>
        <v/>
      </c>
      <c r="T47" s="80"/>
      <c r="U47" s="80"/>
      <c r="V47" s="80"/>
      <c r="W47" s="80"/>
      <c r="X47" s="80"/>
      <c r="Y47" s="80"/>
      <c r="Z47" s="80"/>
      <c r="AA47" s="80"/>
      <c r="AB47" s="80"/>
      <c r="AC47" s="14"/>
      <c r="AD47" s="15"/>
      <c r="AF47" s="13"/>
      <c r="AG47" s="14"/>
      <c r="AH47" s="80" t="str">
        <f aca="false">IFERROR(IF(OR(AO12&lt;1.4,AJ12&lt;&gt;Calculations!B83,Calculations!B105="Yes",AJ12="",AO12="",AI18="",AO18=""),"","Overall offer profit will be £"&amp;TEXT(Maximum_Bonus-(Calculations!B31-Calculations!B80-Calculations!B124),"#0.00")&amp;"."),"")</f>
        <v/>
      </c>
      <c r="AI47" s="80"/>
      <c r="AJ47" s="80"/>
      <c r="AK47" s="80"/>
      <c r="AL47" s="80"/>
      <c r="AM47" s="80"/>
      <c r="AN47" s="80"/>
      <c r="AO47" s="80"/>
      <c r="AP47" s="80"/>
      <c r="AQ47" s="80"/>
      <c r="AR47" s="14"/>
      <c r="AS47" s="15"/>
    </row>
    <row r="48" customFormat="false" ht="13.8" hidden="false" customHeight="false" outlineLevel="0" collapsed="false">
      <c r="B48" s="13"/>
      <c r="C48" s="14"/>
      <c r="D48" s="77" t="str">
        <f aca="false">IF(D42="","","If the Bookmaker Bet wins, your overall position will be £"&amp;TEXT(Bookmaker_Win_Position,"#0.00")&amp;". You will not receive a bonus.")</f>
        <v/>
      </c>
      <c r="E48" s="77"/>
      <c r="F48" s="77"/>
      <c r="G48" s="77"/>
      <c r="H48" s="77"/>
      <c r="I48" s="77"/>
      <c r="J48" s="77"/>
      <c r="K48" s="77"/>
      <c r="L48" s="77"/>
      <c r="M48" s="77"/>
      <c r="N48" s="14"/>
      <c r="O48" s="15"/>
      <c r="Q48" s="13"/>
      <c r="R48" s="14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14"/>
      <c r="AD48" s="15"/>
      <c r="AF48" s="13"/>
      <c r="AG48" s="14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14"/>
      <c r="AS48" s="15"/>
    </row>
    <row r="49" customFormat="false" ht="13.8" hidden="false" customHeight="false" outlineLevel="0" collapsed="false">
      <c r="B49" s="13"/>
      <c r="C49" s="14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14"/>
      <c r="O49" s="15"/>
      <c r="Q49" s="13"/>
      <c r="R49" s="14"/>
      <c r="S49" s="77" t="str">
        <f aca="false">IFERROR(IF(OR(Z12&lt;2,U12&lt;&gt;Maximum_Bonus,Calculations!B61="Yes",U12="",Z12="",T18="",Z18=""),"",IF(Calculations!B80&lt;0,"If the Exchange Lay wins, your overall position for this bet will be -£"&amp;TEXT(Calculations!C81,"#0.00")&amp;".","If the Bookmaker Bet wins, your overall position for this bet will be £"&amp;TEXT(Calculations!C81,"#0.00")&amp;".")),"")</f>
        <v/>
      </c>
      <c r="T49" s="77"/>
      <c r="U49" s="77"/>
      <c r="V49" s="77"/>
      <c r="W49" s="77"/>
      <c r="X49" s="77"/>
      <c r="Y49" s="77"/>
      <c r="Z49" s="77"/>
      <c r="AA49" s="77"/>
      <c r="AB49" s="77"/>
      <c r="AC49" s="14"/>
      <c r="AD49" s="15"/>
      <c r="AF49" s="13"/>
      <c r="AG49" s="14"/>
      <c r="AH49" s="77" t="str">
        <f aca="false">IFERROR(IF(OR(AO12&lt;1.4,AJ12&lt;&gt;Calculations!B83,Calculations!B105="Yes",AJ12="",AO12="",AI18="",AO18=""),"",IF(Calculations!B124&lt;0,"If the Exchange Lay wins, your overall position for this bet will be -£"&amp;TEXT(Calculations!C125,"#0.00")&amp;".","If the Bookmaker Bet wins, your overall position for this bet will be £"&amp;TEXT(Calculations!C125,"#0.00")&amp;".")),"")</f>
        <v/>
      </c>
      <c r="AI49" s="77"/>
      <c r="AJ49" s="77"/>
      <c r="AK49" s="77"/>
      <c r="AL49" s="77"/>
      <c r="AM49" s="77"/>
      <c r="AN49" s="77"/>
      <c r="AO49" s="77"/>
      <c r="AP49" s="77"/>
      <c r="AQ49" s="77"/>
      <c r="AR49" s="14"/>
      <c r="AS49" s="15"/>
    </row>
    <row r="50" customFormat="false" ht="13.8" hidden="false" customHeight="false" outlineLevel="0" collapsed="false">
      <c r="B50" s="13"/>
      <c r="C50" s="14"/>
      <c r="D50" s="81" t="str">
        <f aca="false">IF(D42="","",(Text_for_Exchange_Lay_Win_Position))</f>
        <v/>
      </c>
      <c r="E50" s="81"/>
      <c r="F50" s="81"/>
      <c r="G50" s="81"/>
      <c r="H50" s="81"/>
      <c r="I50" s="81"/>
      <c r="J50" s="81"/>
      <c r="K50" s="81"/>
      <c r="L50" s="81"/>
      <c r="M50" s="81"/>
      <c r="N50" s="14"/>
      <c r="O50" s="15"/>
      <c r="Q50" s="13"/>
      <c r="R50" s="14"/>
      <c r="S50" s="84" t="str">
        <f aca="false">IFERROR(IF(OR(Z12&lt;2,U12&lt;&gt;Maximum_Bonus,Calculations!B61="Yes",U12="",Z12="",T18="",Z18=""),"","Your final qualifying loss for the offer will be £"&amp;TEXT(Calculations!B31-Calculations!B81,"#0.00")&amp;". The offer will be complete, as you have no bonus funds left."),"")</f>
        <v/>
      </c>
      <c r="T50" s="84"/>
      <c r="U50" s="84"/>
      <c r="V50" s="84"/>
      <c r="W50" s="84"/>
      <c r="X50" s="84"/>
      <c r="Y50" s="84"/>
      <c r="Z50" s="84"/>
      <c r="AA50" s="84"/>
      <c r="AB50" s="84"/>
      <c r="AC50" s="14"/>
      <c r="AD50" s="15"/>
      <c r="AF50" s="13"/>
      <c r="AG50" s="14"/>
      <c r="AH50" s="84" t="str">
        <f aca="false">IFERROR(IF(OR(AO12&lt;1.4,AJ12&lt;&gt;Calculations!B83,Calculations!B105="Yes",AJ12="",AO12="",AI18="",AO18=""),"","Your final qualifying loss for the offer will be £"&amp;TEXT(Calculations!B31-Calculations!B80-Calculations!B125,"#0.00")&amp;". The offer will be complete, as you have completed wagering."),"")</f>
        <v/>
      </c>
      <c r="AI50" s="84"/>
      <c r="AJ50" s="84"/>
      <c r="AK50" s="84"/>
      <c r="AL50" s="84"/>
      <c r="AM50" s="84"/>
      <c r="AN50" s="84"/>
      <c r="AO50" s="84"/>
      <c r="AP50" s="84"/>
      <c r="AQ50" s="84"/>
      <c r="AR50" s="14"/>
      <c r="AS50" s="15"/>
    </row>
    <row r="51" customFormat="false" ht="13.8" hidden="false" customHeight="false" outlineLevel="0" collapsed="false">
      <c r="B51" s="13"/>
      <c r="C51" s="14"/>
      <c r="N51" s="14"/>
      <c r="O51" s="15"/>
      <c r="Q51" s="13"/>
      <c r="R51" s="14"/>
      <c r="S51" s="84" t="str">
        <f aca="false">IFERROR(IF(OR(Z12&lt;2,U12&lt;&gt;Maximum_Bonus,Calculations!B61="Yes",U12="",Z12="",T18="",Z18=""),"","Your overall profit for the offer will be £"&amp;TEXT(Maximum_Bonus-Calculations!B31+Calculations!B81,"#0.00")&amp;" and this profit will all be in the exchange."),"")</f>
        <v/>
      </c>
      <c r="T51" s="84"/>
      <c r="U51" s="84"/>
      <c r="V51" s="84"/>
      <c r="W51" s="84"/>
      <c r="X51" s="84"/>
      <c r="Y51" s="84"/>
      <c r="Z51" s="84"/>
      <c r="AA51" s="84"/>
      <c r="AB51" s="84"/>
      <c r="AC51" s="14"/>
      <c r="AD51" s="15"/>
      <c r="AF51" s="13"/>
      <c r="AG51" s="14"/>
      <c r="AH51" s="84" t="str">
        <f aca="false">IFERROR(IF(OR(AO12&lt;1.4,AJ12&lt;&gt;Calculations!B83,Calculations!B105="Yes",AJ12="",AO12="",AI18="",AO18=""),"","Your overall profit for the offer will be £"&amp;(TEXT(Maximum_Bonus-Calculations!B31+Calculations!B80+Calculations!B125,"#0.00"))&amp;"."),"")</f>
        <v/>
      </c>
      <c r="AI51" s="84"/>
      <c r="AJ51" s="84"/>
      <c r="AK51" s="84"/>
      <c r="AL51" s="84"/>
      <c r="AM51" s="84"/>
      <c r="AN51" s="84"/>
      <c r="AO51" s="84"/>
      <c r="AP51" s="84"/>
      <c r="AQ51" s="84"/>
      <c r="AR51" s="14"/>
      <c r="AS51" s="15"/>
      <c r="AU51" s="85"/>
    </row>
    <row r="52" customFormat="false" ht="13.8" hidden="false" customHeight="false" outlineLevel="0" collapsed="false">
      <c r="B52" s="13"/>
      <c r="C52" s="14"/>
      <c r="D52" s="81" t="str">
        <f aca="false">IF(D42="","","Your overall position will be £"&amp;TEXT(Exchange_Win_Position,"#0.00")&amp;".")</f>
        <v/>
      </c>
      <c r="E52" s="81"/>
      <c r="F52" s="81"/>
      <c r="G52" s="81"/>
      <c r="H52" s="81"/>
      <c r="I52" s="81"/>
      <c r="J52" s="81"/>
      <c r="K52" s="81"/>
      <c r="L52" s="81"/>
      <c r="M52" s="81"/>
      <c r="N52" s="14"/>
      <c r="O52" s="15"/>
      <c r="Q52" s="13"/>
      <c r="R52" s="14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14"/>
      <c r="AD52" s="15"/>
      <c r="AF52" s="13"/>
      <c r="AG52" s="14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14"/>
      <c r="AS52" s="15"/>
      <c r="AU52" s="85"/>
    </row>
    <row r="53" customFormat="false" ht="13.8" hidden="false" customHeight="false" outlineLevel="0" collapsed="false">
      <c r="B53" s="13"/>
      <c r="C53" s="14"/>
      <c r="N53" s="14"/>
      <c r="O53" s="15"/>
      <c r="Q53" s="13"/>
      <c r="R53" s="14"/>
      <c r="S53" s="81" t="str">
        <f aca="false">IFERROR(IF(OR(Z12&lt;2,U12&lt;&gt;Maximum_Bonus,Calculations!B61="Yes",U12="",Z12="",T18="",Z18=""),"","Your match rating for this bet is "&amp;Calculations!B82&amp;"%."),"")</f>
        <v/>
      </c>
      <c r="T53" s="81"/>
      <c r="U53" s="81"/>
      <c r="V53" s="81"/>
      <c r="W53" s="81"/>
      <c r="X53" s="81"/>
      <c r="Y53" s="81"/>
      <c r="Z53" s="81"/>
      <c r="AA53" s="81"/>
      <c r="AB53" s="81"/>
      <c r="AC53" s="14"/>
      <c r="AD53" s="15"/>
      <c r="AF53" s="13"/>
      <c r="AG53" s="14"/>
      <c r="AH53" s="81" t="str">
        <f aca="false">IFERROR(IF(OR(AO12&lt;1.4,AJ12&lt;&gt;Calculations!B83,Calculations!B105="Yes",AJ12="",AO12="",AI18="",AO18=""),"","Your match rating for this bet is "&amp;Calculations!B126&amp;"%."),"")</f>
        <v/>
      </c>
      <c r="AI53" s="81"/>
      <c r="AJ53" s="81"/>
      <c r="AK53" s="81"/>
      <c r="AL53" s="81"/>
      <c r="AM53" s="81"/>
      <c r="AN53" s="81"/>
      <c r="AO53" s="81"/>
      <c r="AP53" s="81"/>
      <c r="AQ53" s="81"/>
      <c r="AR53" s="14"/>
      <c r="AS53" s="15"/>
      <c r="AU53" s="85"/>
    </row>
    <row r="54" customFormat="false" ht="13.8" hidden="false" customHeight="false" outlineLevel="0" collapsed="false"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Q54" s="13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5"/>
      <c r="AF54" s="13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5"/>
    </row>
    <row r="55" customFormat="false" ht="27.75" hidden="false" customHeight="true" outlineLevel="0" collapsed="false">
      <c r="B55" s="13"/>
      <c r="C55" s="16" t="s">
        <v>31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5"/>
      <c r="Q55" s="13"/>
      <c r="R55" s="16" t="s">
        <v>32</v>
      </c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5"/>
      <c r="AF55" s="13"/>
      <c r="AG55" s="16" t="s">
        <v>33</v>
      </c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5"/>
    </row>
    <row r="56" customFormat="false" ht="13.8" hidden="false" customHeight="false" outlineLevel="0" collapsed="false"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Q56" s="13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5"/>
      <c r="AF56" s="13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5"/>
    </row>
    <row r="57" customFormat="false" ht="13.8" hidden="false" customHeight="false" outlineLevel="0" collapsed="false">
      <c r="B57" s="13"/>
      <c r="C57" s="14"/>
      <c r="D57" s="77" t="str">
        <f aca="false">IF(D42="","",Calculations!B50)</f>
        <v/>
      </c>
      <c r="E57" s="77"/>
      <c r="F57" s="77"/>
      <c r="G57" s="77"/>
      <c r="H57" s="77"/>
      <c r="I57" s="77"/>
      <c r="J57" s="77"/>
      <c r="K57" s="77"/>
      <c r="L57" s="77"/>
      <c r="M57" s="77"/>
      <c r="N57" s="14"/>
      <c r="O57" s="15"/>
      <c r="Q57" s="13"/>
      <c r="R57" s="14"/>
      <c r="S57" s="77" t="str">
        <f aca="false">IFERROR(IF(OR(Z12&lt;2,U12&lt;&gt;Maximum_Bonus,Qualifying_Result="Won",Qualifying_Result="Not Placed",Qualifying_Result="Pending",U12="",Z12="",T18="",Z18="",Calculations!B61="Yes"),"",Calculations!B99),"")</f>
        <v/>
      </c>
      <c r="T57" s="77"/>
      <c r="U57" s="77"/>
      <c r="V57" s="77"/>
      <c r="W57" s="77"/>
      <c r="X57" s="77"/>
      <c r="Y57" s="77"/>
      <c r="Z57" s="77"/>
      <c r="AA57" s="77"/>
      <c r="AB57" s="77"/>
      <c r="AC57" s="14"/>
      <c r="AD57" s="15"/>
      <c r="AF57" s="13"/>
      <c r="AG57" s="14"/>
      <c r="AH57" s="77" t="str">
        <f aca="false">IFERROR(IF(OR(AO12&lt;1.4,AJ12&lt;&gt;Calculations!B83,Calculations!B105="Yes",AJ12="",AO12="",AI18="",AO18=""),"",Calculations!B141),"")</f>
        <v/>
      </c>
      <c r="AI57" s="77"/>
      <c r="AJ57" s="77"/>
      <c r="AK57" s="77"/>
      <c r="AL57" s="77"/>
      <c r="AM57" s="77"/>
      <c r="AN57" s="77"/>
      <c r="AO57" s="77"/>
      <c r="AP57" s="77"/>
      <c r="AQ57" s="77"/>
      <c r="AR57" s="14"/>
      <c r="AS57" s="15"/>
    </row>
    <row r="58" customFormat="false" ht="13.8" hidden="false" customHeight="false" outlineLevel="0" collapsed="false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Q58" s="13"/>
      <c r="R58" s="14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14"/>
      <c r="AD58" s="15"/>
      <c r="AF58" s="13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5"/>
    </row>
    <row r="59" customFormat="false" ht="13.8" hidden="false" customHeight="false" outlineLevel="0" collapsed="false">
      <c r="B59" s="13"/>
      <c r="C59" s="14"/>
      <c r="D59" s="77" t="str">
        <f aca="false">IF(D42="","",Calculations!B51)</f>
        <v/>
      </c>
      <c r="E59" s="77"/>
      <c r="F59" s="77"/>
      <c r="G59" s="77"/>
      <c r="H59" s="77"/>
      <c r="I59" s="77"/>
      <c r="J59" s="77"/>
      <c r="K59" s="77"/>
      <c r="L59" s="77"/>
      <c r="M59" s="77"/>
      <c r="N59" s="14"/>
      <c r="O59" s="15"/>
      <c r="Q59" s="13"/>
      <c r="R59" s="14"/>
      <c r="S59" s="77" t="str">
        <f aca="false">IFERROR(IF(OR(Z12&lt;2,U12&lt;&gt;Maximum_Bonus,Qualifying_Result="Won",Qualifying_Result="Not Placed",Qualifying_Result="Pending",U12="",Z12="",T18="",Z18=""),"",Calculations!B100),"")</f>
        <v/>
      </c>
      <c r="T59" s="77"/>
      <c r="U59" s="77"/>
      <c r="V59" s="77"/>
      <c r="W59" s="77"/>
      <c r="X59" s="77"/>
      <c r="Y59" s="77"/>
      <c r="Z59" s="77"/>
      <c r="AA59" s="77"/>
      <c r="AB59" s="77"/>
      <c r="AC59" s="14"/>
      <c r="AD59" s="15"/>
      <c r="AF59" s="13"/>
      <c r="AG59" s="14"/>
      <c r="AH59" s="77" t="str">
        <f aca="false">IFERROR(IF(OR(AO12&lt;1.4,AJ12&lt;&gt;Calculations!B83,Calculations!B105="Yes",AJ12="",AO12="",AI18="",AO18=""),"",Calculations!B142),"")</f>
        <v/>
      </c>
      <c r="AI59" s="77"/>
      <c r="AJ59" s="77"/>
      <c r="AK59" s="77"/>
      <c r="AL59" s="77"/>
      <c r="AM59" s="77"/>
      <c r="AN59" s="77"/>
      <c r="AO59" s="77"/>
      <c r="AP59" s="77"/>
      <c r="AQ59" s="77"/>
      <c r="AR59" s="14"/>
      <c r="AS59" s="15"/>
    </row>
    <row r="60" customFormat="false" ht="13.8" hidden="false" customHeight="false" outlineLevel="0" collapsed="false"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Q60" s="13"/>
      <c r="R60" s="14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15"/>
      <c r="AF60" s="13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5"/>
    </row>
    <row r="61" customFormat="false" ht="13.8" hidden="false" customHeight="false" outlineLevel="0" collapsed="false">
      <c r="B61" s="13"/>
      <c r="C61" s="14"/>
      <c r="D61" s="77" t="str">
        <f aca="false">IF(D42="","",Calculations!B52)</f>
        <v/>
      </c>
      <c r="E61" s="77"/>
      <c r="F61" s="77"/>
      <c r="G61" s="77"/>
      <c r="H61" s="77"/>
      <c r="I61" s="77"/>
      <c r="J61" s="77"/>
      <c r="K61" s="77"/>
      <c r="L61" s="77"/>
      <c r="M61" s="77"/>
      <c r="N61" s="14"/>
      <c r="O61" s="15"/>
      <c r="Q61" s="13"/>
      <c r="R61" s="14"/>
      <c r="S61" s="77" t="str">
        <f aca="false">IFERROR(IF(OR(Z12&lt;2,U12&lt;&gt;Maximum_Bonus,Qualifying_Result="Won",Qualifying_Result="Not Placed",Qualifying_Result="Pending",U12="",Z12="",T18="",Z18=""),"",Calculations!B101),"")</f>
        <v/>
      </c>
      <c r="T61" s="77"/>
      <c r="U61" s="77"/>
      <c r="V61" s="77"/>
      <c r="W61" s="77"/>
      <c r="X61" s="77"/>
      <c r="Y61" s="77"/>
      <c r="Z61" s="77"/>
      <c r="AA61" s="77"/>
      <c r="AB61" s="77"/>
      <c r="AC61" s="14"/>
      <c r="AD61" s="15"/>
      <c r="AF61" s="13"/>
      <c r="AG61" s="14"/>
      <c r="AH61" s="77" t="str">
        <f aca="false">IFERROR(IF(OR(AO12&lt;1.4,AJ12&lt;&gt;Calculations!B83,Calculations!B105="Yes",AJ12="",AO12="",AI18="",AO18=""),"",Calculations!B143),"")</f>
        <v/>
      </c>
      <c r="AI61" s="77"/>
      <c r="AJ61" s="77"/>
      <c r="AK61" s="77"/>
      <c r="AL61" s="77"/>
      <c r="AM61" s="77"/>
      <c r="AN61" s="77"/>
      <c r="AO61" s="77"/>
      <c r="AP61" s="77"/>
      <c r="AQ61" s="77"/>
      <c r="AR61" s="79"/>
      <c r="AS61" s="15"/>
    </row>
    <row r="62" customFormat="false" ht="13.8" hidden="false" customHeight="false" outlineLevel="0" collapsed="false"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Q62" s="13"/>
      <c r="R62" s="14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14"/>
      <c r="AD62" s="15"/>
      <c r="AF62" s="13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5"/>
    </row>
    <row r="63" customFormat="false" ht="13.8" hidden="false" customHeight="false" outlineLevel="0" collapsed="false">
      <c r="B63" s="13"/>
      <c r="C63" s="14"/>
      <c r="D63" s="81" t="str">
        <f aca="false">IF(D42="","",Calculations!B53)</f>
        <v/>
      </c>
      <c r="E63" s="81"/>
      <c r="F63" s="81"/>
      <c r="G63" s="81"/>
      <c r="H63" s="81"/>
      <c r="I63" s="81"/>
      <c r="J63" s="81"/>
      <c r="K63" s="81"/>
      <c r="L63" s="81"/>
      <c r="M63" s="81"/>
      <c r="N63" s="14"/>
      <c r="O63" s="15"/>
      <c r="Q63" s="13"/>
      <c r="R63" s="14"/>
      <c r="S63" s="77" t="str">
        <f aca="false">IFERROR(IF(OR(Z12&lt;2,U12&lt;&gt;Maximum_Bonus,Qualifying_Result="Won",Qualifying_Result="Not Placed",Qualifying_Result="Pending",U12="",Z12="",T18="",Z18=""),"",Calculations!B102),"")</f>
        <v/>
      </c>
      <c r="T63" s="77"/>
      <c r="U63" s="77"/>
      <c r="V63" s="77"/>
      <c r="W63" s="77"/>
      <c r="X63" s="77"/>
      <c r="Y63" s="77"/>
      <c r="Z63" s="77"/>
      <c r="AA63" s="77"/>
      <c r="AB63" s="77"/>
      <c r="AC63" s="14"/>
      <c r="AD63" s="15"/>
      <c r="AF63" s="13"/>
      <c r="AG63" s="14"/>
      <c r="AH63" s="77" t="str">
        <f aca="false">IFERROR(IF(OR(AO12&lt;1.4,AJ12&lt;&gt;Calculations!B83,Calculations!B105="Yes",AJ12="",AO12="",AI18="",AO18=""),"",Calculations!B144),"")</f>
        <v/>
      </c>
      <c r="AI63" s="77"/>
      <c r="AJ63" s="77"/>
      <c r="AK63" s="77"/>
      <c r="AL63" s="77"/>
      <c r="AM63" s="77"/>
      <c r="AN63" s="77"/>
      <c r="AO63" s="77"/>
      <c r="AP63" s="77"/>
      <c r="AQ63" s="77"/>
      <c r="AR63" s="14"/>
      <c r="AS63" s="15"/>
    </row>
    <row r="64" customFormat="false" ht="13.8" hidden="false" customHeight="true" outlineLevel="0" collapsed="false">
      <c r="B64" s="87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9"/>
      <c r="Q64" s="87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9"/>
      <c r="AF64" s="87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9"/>
    </row>
    <row r="65" customFormat="false" ht="13.8" hidden="false" customHeight="false" outlineLevel="0" collapsed="false"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</sheetData>
  <sheetProtection sheet="true" password="acaf" objects="true" scenarios="true" selectLockedCells="true"/>
  <mergeCells count="126">
    <mergeCell ref="D3:M3"/>
    <mergeCell ref="S3:AB3"/>
    <mergeCell ref="AH3:AQ3"/>
    <mergeCell ref="E4:F4"/>
    <mergeCell ref="K4:N4"/>
    <mergeCell ref="T4:U4"/>
    <mergeCell ref="Z4:AC4"/>
    <mergeCell ref="AI4:AJ4"/>
    <mergeCell ref="AO4:AR4"/>
    <mergeCell ref="C7:N7"/>
    <mergeCell ref="R7:AC7"/>
    <mergeCell ref="AG7:AR7"/>
    <mergeCell ref="L10:M10"/>
    <mergeCell ref="S10:AB10"/>
    <mergeCell ref="AH10:AQ10"/>
    <mergeCell ref="E12:F12"/>
    <mergeCell ref="H12:I12"/>
    <mergeCell ref="K12:L12"/>
    <mergeCell ref="Z12:AB12"/>
    <mergeCell ref="AO12:AQ12"/>
    <mergeCell ref="K14:L14"/>
    <mergeCell ref="Z14:AA14"/>
    <mergeCell ref="AO14:AP14"/>
    <mergeCell ref="E18:F18"/>
    <mergeCell ref="H18:I18"/>
    <mergeCell ref="K18:L18"/>
    <mergeCell ref="T18:U18"/>
    <mergeCell ref="W18:X18"/>
    <mergeCell ref="Z18:AA18"/>
    <mergeCell ref="AI18:AJ18"/>
    <mergeCell ref="AL18:AM18"/>
    <mergeCell ref="AO18:AP18"/>
    <mergeCell ref="C21:N21"/>
    <mergeCell ref="R21:AC21"/>
    <mergeCell ref="AG21:AR21"/>
    <mergeCell ref="D23:M23"/>
    <mergeCell ref="S23:AB23"/>
    <mergeCell ref="AH23:AQ23"/>
    <mergeCell ref="E25:F25"/>
    <mergeCell ref="H25:I25"/>
    <mergeCell ref="L25:M25"/>
    <mergeCell ref="T25:U25"/>
    <mergeCell ref="W25:X25"/>
    <mergeCell ref="AA25:AB25"/>
    <mergeCell ref="AI25:AJ25"/>
    <mergeCell ref="AL25:AM25"/>
    <mergeCell ref="AP25:AQ25"/>
    <mergeCell ref="D27:M27"/>
    <mergeCell ref="S27:AB27"/>
    <mergeCell ref="AH27:AQ27"/>
    <mergeCell ref="E29:F29"/>
    <mergeCell ref="H29:I29"/>
    <mergeCell ref="L29:M29"/>
    <mergeCell ref="T29:U29"/>
    <mergeCell ref="W29:X29"/>
    <mergeCell ref="AA29:AB29"/>
    <mergeCell ref="AI29:AJ29"/>
    <mergeCell ref="AL29:AM29"/>
    <mergeCell ref="AP29:AQ29"/>
    <mergeCell ref="D31:M31"/>
    <mergeCell ref="S31:AB31"/>
    <mergeCell ref="AH31:AQ31"/>
    <mergeCell ref="E33:F33"/>
    <mergeCell ref="H33:I33"/>
    <mergeCell ref="L33:M33"/>
    <mergeCell ref="T33:U33"/>
    <mergeCell ref="W33:X33"/>
    <mergeCell ref="AA33:AB33"/>
    <mergeCell ref="AI33:AJ33"/>
    <mergeCell ref="AL33:AM33"/>
    <mergeCell ref="AP33:AQ33"/>
    <mergeCell ref="H37:I37"/>
    <mergeCell ref="K37:M37"/>
    <mergeCell ref="W37:X37"/>
    <mergeCell ref="Z37:AB37"/>
    <mergeCell ref="AL37:AM37"/>
    <mergeCell ref="AO37:AQ37"/>
    <mergeCell ref="C40:N40"/>
    <mergeCell ref="R40:AC40"/>
    <mergeCell ref="AG40:AR40"/>
    <mergeCell ref="D42:M42"/>
    <mergeCell ref="S42:AB42"/>
    <mergeCell ref="AH42:AQ42"/>
    <mergeCell ref="D44:M44"/>
    <mergeCell ref="S44:AB44"/>
    <mergeCell ref="AH44:AQ44"/>
    <mergeCell ref="S45:AB45"/>
    <mergeCell ref="AH45:AQ45"/>
    <mergeCell ref="D46:M46"/>
    <mergeCell ref="S46:AB46"/>
    <mergeCell ref="AH46:AQ46"/>
    <mergeCell ref="S47:AB47"/>
    <mergeCell ref="AH47:AQ47"/>
    <mergeCell ref="D48:M48"/>
    <mergeCell ref="S48:AB48"/>
    <mergeCell ref="AH48:AQ48"/>
    <mergeCell ref="D49:M49"/>
    <mergeCell ref="S49:AB49"/>
    <mergeCell ref="AH49:AQ49"/>
    <mergeCell ref="D50:M50"/>
    <mergeCell ref="S50:AB50"/>
    <mergeCell ref="AH50:AQ50"/>
    <mergeCell ref="S51:AB51"/>
    <mergeCell ref="AH51:AQ51"/>
    <mergeCell ref="D52:M52"/>
    <mergeCell ref="AH52:AQ52"/>
    <mergeCell ref="S53:AB53"/>
    <mergeCell ref="AH53:AQ53"/>
    <mergeCell ref="C55:N55"/>
    <mergeCell ref="R55:AC55"/>
    <mergeCell ref="AG55:AR55"/>
    <mergeCell ref="D57:M57"/>
    <mergeCell ref="S57:AB57"/>
    <mergeCell ref="AH57:AQ57"/>
    <mergeCell ref="D59:M59"/>
    <mergeCell ref="S59:AB59"/>
    <mergeCell ref="AH59:AQ59"/>
    <mergeCell ref="S60:AC60"/>
    <mergeCell ref="D61:M61"/>
    <mergeCell ref="S61:AB61"/>
    <mergeCell ref="AH61:AQ61"/>
    <mergeCell ref="S62:AB62"/>
    <mergeCell ref="D63:M63"/>
    <mergeCell ref="S63:AB63"/>
    <mergeCell ref="AH63:AQ63"/>
    <mergeCell ref="C65:O65"/>
  </mergeCells>
  <conditionalFormatting sqref="S18:AB18">
    <cfRule type="expression" priority="2" aboveAverage="0" equalAverage="0" bottom="0" percent="0" rank="0" text="" dxfId="0">
      <formula>Calculations!$B$61="Yes"</formula>
    </cfRule>
  </conditionalFormatting>
  <conditionalFormatting sqref="S37:AB37">
    <cfRule type="expression" priority="3" aboveAverage="0" equalAverage="0" bottom="0" percent="0" rank="0" text="" dxfId="1">
      <formula>Calculations!$B$61="Yes"</formula>
    </cfRule>
  </conditionalFormatting>
  <conditionalFormatting sqref="S23:AB33">
    <cfRule type="expression" priority="4" aboveAverage="0" equalAverage="0" bottom="0" percent="0" rank="0" text="" dxfId="2">
      <formula>Calculations!$B$61="Yes"</formula>
    </cfRule>
  </conditionalFormatting>
  <conditionalFormatting sqref="AH18:AQ18">
    <cfRule type="expression" priority="5" aboveAverage="0" equalAverage="0" bottom="0" percent="0" rank="0" text="" dxfId="3">
      <formula>Calculations!$B$105="Yes"</formula>
    </cfRule>
  </conditionalFormatting>
  <conditionalFormatting sqref="AH23:AQ33">
    <cfRule type="expression" priority="6" aboveAverage="0" equalAverage="0" bottom="0" percent="0" rank="0" text="" dxfId="3">
      <formula>Calculations!$B$105="Yes"</formula>
    </cfRule>
  </conditionalFormatting>
  <conditionalFormatting sqref="AH37:AQ37">
    <cfRule type="expression" priority="7" aboveAverage="0" equalAverage="0" bottom="0" percent="0" rank="0" text="" dxfId="4">
      <formula>Calculations!$B$105="Yes"</formula>
    </cfRule>
  </conditionalFormatting>
  <conditionalFormatting sqref="AH12:AQ14">
    <cfRule type="expression" priority="8" aboveAverage="0" equalAverage="0" bottom="0" percent="0" rank="0" text="" dxfId="5">
      <formula>Calculations!$B$105="Yes"</formula>
    </cfRule>
  </conditionalFormatting>
  <conditionalFormatting sqref="S12:AB14">
    <cfRule type="expression" priority="9" aboveAverage="0" equalAverage="0" bottom="0" percent="0" rank="0" text="" dxfId="6">
      <formula>Calculations!$B$61="Yes"</formula>
    </cfRule>
  </conditionalFormatting>
  <dataValidations count="3">
    <dataValidation allowBlank="true" errorStyle="stop" operator="between" showDropDown="false" showErrorMessage="true" showInputMessage="true" sqref="K4 Z4 AO4" type="list">
      <formula1>'Drop Down Lists'!$A$1:$A$2</formula1>
      <formula2>0</formula2>
    </dataValidation>
    <dataValidation allowBlank="true" errorStyle="stop" operator="equal" showDropDown="false" showErrorMessage="true" showInputMessage="false" sqref="E4 T4 AI4" type="list">
      <formula1>'Drop Down Lists'!$B$1:$B$2</formula1>
      <formula2>0</formula2>
    </dataValidation>
    <dataValidation allowBlank="true" errorStyle="stop" operator="equal" showDropDown="false" showErrorMessage="true" showInputMessage="false" sqref="H37 W37 AL37" type="list">
      <formula1>'Drop Down Lists'!$C$1:$C$4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5" activeCellId="0" sqref="A145"/>
    </sheetView>
  </sheetViews>
  <sheetFormatPr defaultColWidth="11.60546875" defaultRowHeight="13.8" zeroHeight="false" outlineLevelRow="0" outlineLevelCol="0"/>
  <cols>
    <col collapsed="false" customWidth="true" hidden="false" outlineLevel="0" max="1" min="1" style="91" width="66.42"/>
    <col collapsed="false" customWidth="true" hidden="false" outlineLevel="0" max="2" min="2" style="92" width="90.42"/>
    <col collapsed="false" customWidth="false" hidden="false" outlineLevel="0" max="1024" min="3" style="91" width="11.59"/>
  </cols>
  <sheetData>
    <row r="1" customFormat="false" ht="13.8" hidden="true" customHeight="false" outlineLevel="0" collapsed="false">
      <c r="A1" s="93" t="s">
        <v>7</v>
      </c>
      <c r="B1" s="94"/>
    </row>
    <row r="2" customFormat="false" ht="13.8" hidden="true" customHeight="false" outlineLevel="0" collapsed="false">
      <c r="A2" s="91" t="s">
        <v>34</v>
      </c>
      <c r="B2" s="94" t="str">
        <f aca="false">'Unibet Calculator'!E4</f>
        <v>Normal</v>
      </c>
    </row>
    <row r="3" customFormat="false" ht="13.8" hidden="true" customHeight="false" outlineLevel="0" collapsed="false">
      <c r="A3" s="91" t="s">
        <v>10</v>
      </c>
      <c r="B3" s="94" t="n">
        <f aca="false">'Unibet Calculator'!F10</f>
        <v>0</v>
      </c>
    </row>
    <row r="4" customFormat="false" ht="13.8" hidden="true" customHeight="false" outlineLevel="0" collapsed="false">
      <c r="A4" s="91" t="s">
        <v>13</v>
      </c>
      <c r="B4" s="92" t="n">
        <f aca="false">'Unibet Calculator'!E12</f>
        <v>0</v>
      </c>
    </row>
    <row r="5" customFormat="false" ht="13.8" hidden="true" customHeight="false" outlineLevel="0" collapsed="false">
      <c r="A5" s="91" t="s">
        <v>12</v>
      </c>
      <c r="B5" s="94" t="n">
        <f aca="false">'Unibet Calculator'!L10</f>
        <v>0</v>
      </c>
    </row>
    <row r="6" customFormat="false" ht="13.8" hidden="true" customHeight="false" outlineLevel="0" collapsed="false">
      <c r="A6" s="91" t="s">
        <v>35</v>
      </c>
      <c r="B6" s="94" t="n">
        <f aca="false">Maximum_Bonus*3</f>
        <v>0</v>
      </c>
    </row>
    <row r="7" customFormat="false" ht="13.8" hidden="true" customHeight="false" outlineLevel="0" collapsed="false">
      <c r="A7" s="91" t="s">
        <v>16</v>
      </c>
      <c r="B7" s="92" t="n">
        <f aca="false">'Unibet Calculator'!K14</f>
        <v>0</v>
      </c>
    </row>
    <row r="8" customFormat="false" ht="13.8" hidden="true" customHeight="false" outlineLevel="0" collapsed="false">
      <c r="A8" s="91" t="s">
        <v>36</v>
      </c>
      <c r="B8" s="92" t="n">
        <f aca="false">'Unibet Calculator'!K12</f>
        <v>0</v>
      </c>
    </row>
    <row r="9" customFormat="false" ht="13.8" hidden="true" customHeight="false" outlineLevel="0" collapsed="false">
      <c r="A9" s="91" t="s">
        <v>37</v>
      </c>
      <c r="B9" s="94" t="n">
        <f aca="false">ROUND((B8/100)*B5,2)</f>
        <v>0</v>
      </c>
    </row>
    <row r="10" customFormat="false" ht="13.8" hidden="true" customHeight="false" outlineLevel="0" collapsed="false">
      <c r="A10" s="91" t="s">
        <v>17</v>
      </c>
      <c r="B10" s="95" t="n">
        <f aca="false">'Unibet Calculator'!E18</f>
        <v>0</v>
      </c>
    </row>
    <row r="11" customFormat="false" ht="13.8" hidden="true" customHeight="false" outlineLevel="0" collapsed="false">
      <c r="A11" s="91" t="s">
        <v>18</v>
      </c>
      <c r="B11" s="92" t="n">
        <f aca="false">'Unibet Calculator'!K18</f>
        <v>0</v>
      </c>
    </row>
    <row r="12" customFormat="false" ht="13.8" hidden="true" customHeight="false" outlineLevel="0" collapsed="false">
      <c r="A12" s="91" t="s">
        <v>38</v>
      </c>
      <c r="B12" s="95" t="n">
        <f aca="false">'Unibet Calculator'!E25</f>
        <v>0</v>
      </c>
    </row>
    <row r="13" customFormat="false" ht="13.8" hidden="true" customHeight="false" outlineLevel="0" collapsed="false">
      <c r="A13" s="91" t="s">
        <v>39</v>
      </c>
      <c r="B13" s="94" t="n">
        <f aca="false">'Unibet Calculator'!L25</f>
        <v>0</v>
      </c>
    </row>
    <row r="14" customFormat="false" ht="13.8" hidden="true" customHeight="false" outlineLevel="0" collapsed="false">
      <c r="A14" s="91" t="s">
        <v>40</v>
      </c>
      <c r="B14" s="92" t="n">
        <f aca="false">'Unibet Calculator'!K18</f>
        <v>0</v>
      </c>
    </row>
    <row r="15" customFormat="false" ht="13.8" hidden="true" customHeight="false" outlineLevel="0" collapsed="false">
      <c r="A15" s="91" t="s">
        <v>41</v>
      </c>
      <c r="B15" s="92" t="n">
        <f aca="false">'Unibet Calculator'!E29</f>
        <v>0</v>
      </c>
    </row>
    <row r="16" customFormat="false" ht="13.8" hidden="true" customHeight="false" outlineLevel="0" collapsed="false">
      <c r="A16" s="91" t="s">
        <v>42</v>
      </c>
      <c r="B16" s="94" t="n">
        <f aca="false">'Unibet Calculator'!L29</f>
        <v>0</v>
      </c>
      <c r="D16" s="96"/>
    </row>
    <row r="17" customFormat="false" ht="13.8" hidden="true" customHeight="false" outlineLevel="0" collapsed="false">
      <c r="A17" s="91" t="s">
        <v>43</v>
      </c>
      <c r="B17" s="92" t="n">
        <f aca="false">'Unibet Calculator'!K18</f>
        <v>0</v>
      </c>
    </row>
    <row r="18" customFormat="false" ht="13.8" hidden="true" customHeight="false" outlineLevel="0" collapsed="false">
      <c r="A18" s="91" t="s">
        <v>44</v>
      </c>
      <c r="B18" s="92" t="n">
        <f aca="false">'Unibet Calculator'!E33</f>
        <v>0</v>
      </c>
    </row>
    <row r="19" customFormat="false" ht="13.8" hidden="true" customHeight="false" outlineLevel="0" collapsed="false">
      <c r="A19" s="91" t="s">
        <v>45</v>
      </c>
      <c r="B19" s="94" t="n">
        <f aca="false">'Unibet Calculator'!L33</f>
        <v>0</v>
      </c>
    </row>
    <row r="20" customFormat="false" ht="13.8" hidden="true" customHeight="false" outlineLevel="0" collapsed="false">
      <c r="A20" s="91" t="s">
        <v>46</v>
      </c>
      <c r="B20" s="92" t="n">
        <f aca="false">'Unibet Calculator'!K18</f>
        <v>0</v>
      </c>
    </row>
    <row r="21" customFormat="false" ht="13.8" hidden="true" customHeight="false" outlineLevel="0" collapsed="false">
      <c r="A21" s="91" t="s">
        <v>47</v>
      </c>
      <c r="B21" s="94" t="str">
        <f aca="false">IFERROR(ROUND((Back_Stake*Back_Odds-(Back_Commission/100)*(Back_Stake*(Back_Odds-1))+Part_Lay_Stake_1*((Part_Lay_Commission_1/100)-Part_Lay_Odds_1)+Part_Lay_Stake_2*((Part_Lay_Commission_2/100)-Part_Lay_Odds_2)+Part_Lay_Stake_3*((Part_Lay_Commission_3/100)-Part_Lay_Odds_3)-(Bonus_Retention*Maximum_Bonus/100))/(Lay_Odds-(Lay_Commission/100)),2),"")</f>
        <v/>
      </c>
    </row>
    <row r="22" customFormat="false" ht="13.8" hidden="true" customHeight="false" outlineLevel="0" collapsed="false">
      <c r="A22" s="91" t="s">
        <v>48</v>
      </c>
      <c r="B22" s="94" t="str">
        <f aca="false">IFERROR(ROUND((Back_Stake*Back_Odds-Back_Stake-(Back_Commission/100)*(Back_Stake*(Back_Odds-1))+Part_Lay_Stake_1*((Part_Lay_Commission_1/100)-Part_Lay_Odds_1)+Part_Lay_Stake_2*((Part_Lay_Commission_2/100)-Part_Lay_Odds_2)+Part_Lay_Stake_3*((Part_Lay_Commission_3/100)-Part_Lay_Odds_3)-(Bonus_Retention*Maximum_Bonus/100))/(Lay_Odds-(Lay_Commission/100)),2),"")</f>
        <v/>
      </c>
    </row>
    <row r="23" customFormat="false" ht="13.8" hidden="true" customHeight="false" outlineLevel="0" collapsed="false">
      <c r="A23" s="91" t="s">
        <v>21</v>
      </c>
      <c r="B23" s="94" t="str">
        <f aca="false">IF(Bet_Type="Normal",Lay_Stake_Normal_Bet,IF(Bet_Type="Free Bet (SNR)",Lay_Stake_Free_Bet_SNR))</f>
        <v/>
      </c>
    </row>
    <row r="24" customFormat="false" ht="13.8" hidden="true" customHeight="false" outlineLevel="0" collapsed="false">
      <c r="A24" s="91" t="s">
        <v>49</v>
      </c>
      <c r="B24" s="94" t="e">
        <f aca="false">ROUND(Lay_Stake*(Lay_Odds-1),2)</f>
        <v>#VALUE!</v>
      </c>
    </row>
    <row r="25" customFormat="false" ht="13.8" hidden="true" customHeight="false" outlineLevel="0" collapsed="false">
      <c r="A25" s="91" t="s">
        <v>50</v>
      </c>
      <c r="B25" s="94" t="str">
        <f aca="false">IF(Qualifying_Result="Won",ROUND(Back_Stake*(Back_Odds-1)*(1-(Back_Commission/100)),2),IF(Qualifying_Result="Lost",-Back_Stake,IF(OR(Qualifying_Result="Not Placed",Qualifying_Result="Pending"),"")))</f>
        <v/>
      </c>
    </row>
    <row r="26" customFormat="false" ht="13.8" hidden="true" customHeight="false" outlineLevel="0" collapsed="false">
      <c r="A26" s="91" t="s">
        <v>51</v>
      </c>
      <c r="B26" s="94" t="n">
        <f aca="false">(IF(Qualifying_Result="Lost",ROUND(Lay_Stake*(1-(Lay_Commission/100)),2)+ROUND(Part_Lay_Stake_1*(1-(Part_Lay_Commission_1/100)),2)+ROUND(Part_Lay_Stake_2*(1-(Part_Lay_Commission_2/100)),2)+ROUND(Part_Lay_Stake_3*(1-(Part_Lay_Commission_3/100)),2),IF(Qualifying_Result="Won",-ROUND((Lay_Stake)*(Lay_Odds-1),2)-ROUND(Part_Lay_Stake_1*(Part_Lay_Odds_1-1),2)-ROUND(Part_Lay_Stake_2*(Part_Lay_Odds_2-1),2)-ROUND(Part_Lay_Stake_3*(Part_Lay_Odds_3-1),0),2)))</f>
        <v>2</v>
      </c>
      <c r="D26" s="97"/>
    </row>
    <row r="27" customFormat="false" ht="13.8" hidden="true" customHeight="false" outlineLevel="0" collapsed="false">
      <c r="A27" s="91" t="s">
        <v>52</v>
      </c>
      <c r="B27" s="94" t="str">
        <f aca="false">IFERROR(ROUND(Back_Stake*(Back_Odds-1)*(1-(Back_Commission/100)),2)-ROUND((Lay_Stake)*(Lay_Odds-1),2)-ROUND(Part_Lay_Stake_1*(Part_Lay_Odds_1-1),2)-ROUND(Part_Lay_Stake_2*(Part_Lay_Odds_2-1),2)-ROUND(Part_Lay_Stake_3*(Part_Lay_Odds_3-1),2),"")</f>
        <v/>
      </c>
    </row>
    <row r="28" customFormat="false" ht="13.8" hidden="true" customHeight="false" outlineLevel="0" collapsed="false">
      <c r="A28" s="91" t="s">
        <v>53</v>
      </c>
      <c r="B28" s="94" t="str">
        <f aca="false">IFERROR(ROUND((Maximum_Bonus*Bonus_Retention/100),2)-Back_Stake+ROUND((Lay_Stake)*(1-(Lay_Commission/100)),2)+ROUND(Part_Lay_Stake_1*(1-(Part_Lay_Commission_1/100)),2)+ROUND(Part_Lay_Stake_2*(1-(Part_Lay_Commission_2/100)),2)+ROUND(Part_Lay_Stake_3*(1-(Part_Lay_Commission_3/100)),2),"")</f>
        <v/>
      </c>
    </row>
    <row r="29" customFormat="false" ht="13.8" hidden="true" customHeight="false" outlineLevel="0" collapsed="false">
      <c r="A29" s="91" t="s">
        <v>54</v>
      </c>
      <c r="B29" s="94" t="e">
        <f aca="false">ROUND((Maximum_Bonus*Bonus_Retention/100),2)+ROUND(Lay_Stake*(1-(Lay_Commission/100)),2)+ROUND(Part_Lay_Stake_1*(1-(Part_Lay_Commission_1/100)),2)+ROUND(Part_Lay_Stake_2*(1-(Part_Lay_Commission_2/100)),2)+ROUND(Part_Lay_Stake_3*(1-(Part_Lay_Commission_3/100)),2)</f>
        <v>#VALUE!</v>
      </c>
    </row>
    <row r="30" customFormat="false" ht="13.8" hidden="true" customHeight="false" outlineLevel="0" collapsed="false">
      <c r="A30" s="91" t="s">
        <v>55</v>
      </c>
      <c r="B30" s="94" t="str">
        <f aca="false">IF(Bet_Type="Normal",Exchange_Win_Position_Normal_Bet,IF(Bet_Type="Free Bet (SNR)",Exchange_Win_Position_Free_Bet_SNR))</f>
        <v/>
      </c>
    </row>
    <row r="31" customFormat="false" ht="13.8" hidden="true" customHeight="false" outlineLevel="0" collapsed="false">
      <c r="A31" s="91" t="s">
        <v>56</v>
      </c>
      <c r="B31" s="94" t="e">
        <f aca="false">Expected_Profit_From_Bonus-Exchange_Win_Position</f>
        <v>#VALUE!</v>
      </c>
    </row>
    <row r="32" customFormat="false" ht="13.8" hidden="true" customHeight="false" outlineLevel="0" collapsed="false">
      <c r="A32" s="91" t="s">
        <v>57</v>
      </c>
      <c r="B32" s="94" t="e">
        <f aca="false">Exchange_Win_Position-Expected_Profit_From_Bonus</f>
        <v>#VALUE!</v>
      </c>
    </row>
    <row r="33" customFormat="false" ht="13.8" hidden="true" customHeight="false" outlineLevel="0" collapsed="false">
      <c r="A33" s="91" t="s">
        <v>58</v>
      </c>
      <c r="B33" s="94" t="e">
        <f aca="false">"If the Exchange Lay wins, you will lose £"&amp;TEXT(Loss_If_Exchange_Lay_Wins,"#0.00")&amp;" and gain a £"&amp;Maximum_Bonus&amp;" bonus. This bonus is worth £"&amp;TEXT(Expected_Profit_From_Bonus,"#0.00")&amp;"."</f>
        <v>#VALUE!</v>
      </c>
    </row>
    <row r="34" customFormat="false" ht="13.8" hidden="true" customHeight="false" outlineLevel="0" collapsed="false">
      <c r="A34" s="91" t="s">
        <v>59</v>
      </c>
      <c r="B34" s="95" t="e">
        <f aca="false">"If the Exchange Lay wins, you will gain £"&amp;TEXT(Gain_If_Exchange_Lay_Wins,"#0.00")&amp;" and gain a £"&amp;Maximum_Bonus&amp;" bonus. This bonus is worth £"&amp;TEXT(Expected_Profit_From_Bonus,"#0.00")&amp;"."</f>
        <v>#VALUE!</v>
      </c>
    </row>
    <row r="35" customFormat="false" ht="13.8" hidden="true" customHeight="false" outlineLevel="0" collapsed="false">
      <c r="A35" s="91" t="s">
        <v>60</v>
      </c>
      <c r="B35" s="92" t="e">
        <f aca="false">IF(Bet_Type="Normal",Text_for_Exchange_Lay_Win_Position_Normal,IF(Bet_Type="Free Bet (SNR)",Text_for_Exchange_Lay_Win_Position_Free_SNR))</f>
        <v>#VALUE!</v>
      </c>
    </row>
    <row r="36" customFormat="false" ht="13.8" hidden="true" customHeight="false" outlineLevel="0" collapsed="false"/>
    <row r="37" customFormat="false" ht="13.8" hidden="true" customHeight="false" outlineLevel="0" collapsed="false">
      <c r="A37" s="93" t="s">
        <v>61</v>
      </c>
    </row>
    <row r="38" customFormat="false" ht="13.8" hidden="true" customHeight="false" outlineLevel="0" collapsed="false">
      <c r="A38" s="91" t="s">
        <v>62</v>
      </c>
      <c r="B38" s="92" t="s">
        <v>63</v>
      </c>
    </row>
    <row r="39" customFormat="false" ht="13.8" hidden="true" customHeight="false" outlineLevel="0" collapsed="false">
      <c r="A39" s="91" t="s">
        <v>64</v>
      </c>
      <c r="B39" s="92" t="str">
        <f aca="false">"Your qualifying bet lost. You will receive a bonus of £"&amp;Maximum_Bonus&amp;"."</f>
        <v>Your qualifying bet lost. You will receive a bonus of £0.</v>
      </c>
    </row>
    <row r="40" customFormat="false" ht="13.8" hidden="true" customHeight="false" outlineLevel="0" collapsed="false">
      <c r="A40" s="91" t="s">
        <v>65</v>
      </c>
      <c r="B40" s="92" t="str">
        <f aca="false">"Your Bookmaker Bet won so you will not get a bonus."</f>
        <v>Your Bookmaker Bet won so you will not get a bonus.</v>
      </c>
    </row>
    <row r="41" customFormat="false" ht="13.8" hidden="true" customHeight="false" outlineLevel="0" collapsed="false">
      <c r="A41" s="91" t="s">
        <v>66</v>
      </c>
      <c r="B41" s="92" t="str">
        <f aca="false">""</f>
        <v/>
      </c>
    </row>
    <row r="42" customFormat="false" ht="13.8" hidden="true" customHeight="false" outlineLevel="0" collapsed="false">
      <c r="A42" s="91" t="s">
        <v>67</v>
      </c>
      <c r="B42" s="92" t="str">
        <f aca="false">"You have lost your bookmaker stake of £"&amp;Back_Stake&amp;" and gained £"&amp;TEXT(Exchange_Position,"#0.00")&amp;" at the exchange."</f>
        <v>You have lost your bookmaker stake of £0 and gained £2.00 at the exchange.</v>
      </c>
    </row>
    <row r="43" customFormat="false" ht="13.8" hidden="true" customHeight="false" outlineLevel="0" collapsed="false">
      <c r="A43" s="91" t="s">
        <v>68</v>
      </c>
      <c r="B43" s="95" t="str">
        <f aca="false">"You made a profit of £"&amp;B25&amp;" at the bookmaker and lost your liability of £"&amp;TEXT(-B26,"#0.00")&amp;" at the exchange."</f>
        <v>You made a profit of £ at the bookmaker and lost your liability of £-2.00 at the exchange.</v>
      </c>
    </row>
    <row r="44" customFormat="false" ht="13.8" hidden="true" customHeight="false" outlineLevel="0" collapsed="false">
      <c r="A44" s="91" t="s">
        <v>69</v>
      </c>
      <c r="B44" s="92" t="str">
        <f aca="false">""</f>
        <v/>
      </c>
    </row>
    <row r="45" customFormat="false" ht="13.8" hidden="true" customHeight="false" outlineLevel="0" collapsed="false">
      <c r="A45" s="91" t="s">
        <v>70</v>
      </c>
      <c r="B45" s="92" t="str">
        <f aca="false">"Your current qualifying loss is £"&amp;TEXT(Back_Stake-Exchange_Position,"#0.00")&amp;" but should make a profit of around £"&amp;TEXT(Expected_Profit_From_Bonus,"#0.00")&amp;" from your £"&amp;Maximum_Bonus&amp;" bonus."</f>
        <v>Your current qualifying loss is £-2.00 but should make a profit of around £0.00 from your £0 bonus.</v>
      </c>
    </row>
    <row r="46" customFormat="false" ht="13.8" hidden="true" customHeight="false" outlineLevel="0" collapsed="false">
      <c r="A46" s="91" t="s">
        <v>71</v>
      </c>
      <c r="B46" s="92" t="str">
        <f aca="false">"Your final profit for the offer is £"&amp;TEXT(Bookmaker_Win_Position,"#0.00")&amp;". The offer is complete and you can withdraw your bookmaker winnings."</f>
        <v>Your final profit for the offer is £. The offer is complete and you can withdraw your bookmaker winnings.</v>
      </c>
    </row>
    <row r="47" customFormat="false" ht="13.8" hidden="true" customHeight="false" outlineLevel="0" collapsed="false">
      <c r="A47" s="91" t="s">
        <v>72</v>
      </c>
      <c r="B47" s="92" t="str">
        <f aca="false">""</f>
        <v/>
      </c>
    </row>
    <row r="48" customFormat="false" ht="13.8" hidden="true" customHeight="false" outlineLevel="0" collapsed="false">
      <c r="A48" s="91" t="s">
        <v>73</v>
      </c>
      <c r="B48" s="92" t="str">
        <f aca="false">"Proceed to the 'Bonus Wagering' section."</f>
        <v>Proceed to the 'Bonus Wagering' section.</v>
      </c>
    </row>
    <row r="49" customFormat="false" ht="13.8" hidden="true" customHeight="false" outlineLevel="0" collapsed="false">
      <c r="A49" s="91" t="s">
        <v>74</v>
      </c>
      <c r="B49" s="92" t="str">
        <f aca="false">""</f>
        <v/>
      </c>
    </row>
    <row r="50" customFormat="false" ht="13.8" hidden="true" customHeight="false" outlineLevel="0" collapsed="false">
      <c r="A50" s="91" t="s">
        <v>75</v>
      </c>
      <c r="B50" s="95" t="str">
        <f aca="false">IF(OR(Qualifying_Result="Not placed",Qualifying_Result="Pending"),B38,IF(Qualifying_Result="Lost",B39,IF(Qualifying_Result="Won",B40)))</f>
        <v>When the qualifying bet has settled, the overall position at the time will be shown in this section.</v>
      </c>
    </row>
    <row r="51" customFormat="false" ht="13.8" hidden="true" customHeight="false" outlineLevel="0" collapsed="false">
      <c r="A51" s="91" t="s">
        <v>76</v>
      </c>
      <c r="B51" s="95" t="str">
        <f aca="false">IF(OR(Qualifying_Result="Not placed",Qualifying_Result="Pending"),B41,IF(Qualifying_Result="Lost",B42,IF(Qualifying_Result="Won",B43)))</f>
        <v/>
      </c>
    </row>
    <row r="52" customFormat="false" ht="13.8" hidden="true" customHeight="false" outlineLevel="0" collapsed="false">
      <c r="A52" s="91" t="s">
        <v>77</v>
      </c>
      <c r="B52" s="95" t="str">
        <f aca="false">IF(OR(Qualifying_Result="Not placed",Qualifying_Result="Pending"),B44,IF(Qualifying_Result="Lost",B45,IF(Qualifying_Result="Won",B46)))</f>
        <v/>
      </c>
    </row>
    <row r="53" customFormat="false" ht="13.8" hidden="true" customHeight="false" outlineLevel="0" collapsed="false">
      <c r="A53" s="91" t="s">
        <v>78</v>
      </c>
      <c r="B53" s="92" t="str">
        <f aca="false">IF(OR(Qualifying_Result="Not placed",Qualifying_Result="Pending"),B47,IF(Qualifying_Result="Lost",B48,IF(Qualifying_Result="Won",B49)))</f>
        <v/>
      </c>
    </row>
    <row r="54" customFormat="false" ht="13.8" hidden="true" customHeight="false" outlineLevel="0" collapsed="false"/>
    <row r="55" customFormat="false" ht="13.8" hidden="true" customHeight="false" outlineLevel="0" collapsed="false">
      <c r="A55" s="93" t="s">
        <v>79</v>
      </c>
    </row>
    <row r="56" customFormat="false" ht="13.8" hidden="true" customHeight="false" outlineLevel="0" collapsed="false">
      <c r="A56" s="91" t="s">
        <v>80</v>
      </c>
      <c r="B56" s="92" t="str">
        <f aca="false">'Unibet Calculator'!H37</f>
        <v>Not placed</v>
      </c>
    </row>
    <row r="57" customFormat="false" ht="13.8" hidden="true" customHeight="false" outlineLevel="0" collapsed="false">
      <c r="A57" s="91" t="s">
        <v>81</v>
      </c>
      <c r="B57" s="92" t="str">
        <f aca="false">'Unibet Calculator'!W37</f>
        <v>Not placed</v>
      </c>
    </row>
    <row r="58" customFormat="false" ht="13.8" hidden="true" customHeight="false" outlineLevel="0" collapsed="false">
      <c r="A58" s="91" t="s">
        <v>82</v>
      </c>
      <c r="B58" s="92" t="str">
        <f aca="false">'Unibet Calculator'!AL37</f>
        <v>Not placed</v>
      </c>
    </row>
    <row r="59" customFormat="false" ht="13.8" hidden="true" customHeight="false" outlineLevel="0" collapsed="false"/>
    <row r="60" customFormat="false" ht="13.8" hidden="true" customHeight="false" outlineLevel="0" collapsed="false">
      <c r="A60" s="93" t="s">
        <v>83</v>
      </c>
    </row>
    <row r="61" customFormat="false" ht="13.8" hidden="true" customHeight="false" outlineLevel="0" collapsed="false">
      <c r="A61" s="91" t="s">
        <v>84</v>
      </c>
      <c r="B61" s="95" t="str">
        <f aca="false">IF(OR(Qualifying_Result="Not placed",Qualifying_Result="Pending",Qualifying_Result="Won",'Unibet Calculator'!D42=""),"Yes",IF(Qualifying_Result="Lost","No"))</f>
        <v>Yes</v>
      </c>
    </row>
    <row r="62" customFormat="false" ht="13.8" hidden="true" customHeight="false" outlineLevel="0" collapsed="false">
      <c r="A62" s="91" t="s">
        <v>10</v>
      </c>
      <c r="B62" s="94" t="n">
        <f aca="false">'Unibet Calculator'!U12</f>
        <v>0</v>
      </c>
    </row>
    <row r="63" customFormat="false" ht="13.8" hidden="true" customHeight="false" outlineLevel="0" collapsed="false">
      <c r="A63" s="91" t="s">
        <v>13</v>
      </c>
      <c r="B63" s="92" t="n">
        <f aca="false">'Unibet Calculator'!Z12</f>
        <v>0</v>
      </c>
    </row>
    <row r="64" customFormat="false" ht="13.8" hidden="true" customHeight="false" outlineLevel="0" collapsed="false">
      <c r="A64" s="91" t="s">
        <v>16</v>
      </c>
      <c r="B64" s="92" t="n">
        <f aca="false">'Unibet Calculator'!Z14</f>
        <v>0</v>
      </c>
    </row>
    <row r="65" customFormat="false" ht="13.8" hidden="true" customHeight="false" outlineLevel="0" collapsed="false">
      <c r="A65" s="91" t="s">
        <v>17</v>
      </c>
      <c r="B65" s="95" t="n">
        <f aca="false">'Unibet Calculator'!T18</f>
        <v>0</v>
      </c>
    </row>
    <row r="66" customFormat="false" ht="13.8" hidden="true" customHeight="false" outlineLevel="0" collapsed="false">
      <c r="A66" s="91" t="s">
        <v>18</v>
      </c>
      <c r="B66" s="92" t="n">
        <f aca="false">'Unibet Calculator'!Z18</f>
        <v>0</v>
      </c>
    </row>
    <row r="67" customFormat="false" ht="13.8" hidden="true" customHeight="false" outlineLevel="0" collapsed="false">
      <c r="A67" s="91" t="s">
        <v>38</v>
      </c>
      <c r="B67" s="95" t="n">
        <f aca="false">'Unibet Calculator'!T25</f>
        <v>0</v>
      </c>
    </row>
    <row r="68" customFormat="false" ht="13.8" hidden="true" customHeight="false" outlineLevel="0" collapsed="false">
      <c r="A68" s="91" t="s">
        <v>39</v>
      </c>
      <c r="B68" s="94" t="n">
        <f aca="false">'Unibet Calculator'!AA25</f>
        <v>0</v>
      </c>
    </row>
    <row r="69" customFormat="false" ht="13.8" hidden="true" customHeight="false" outlineLevel="0" collapsed="false">
      <c r="A69" s="91" t="s">
        <v>40</v>
      </c>
      <c r="B69" s="92" t="n">
        <f aca="false">B66</f>
        <v>0</v>
      </c>
    </row>
    <row r="70" customFormat="false" ht="13.8" hidden="true" customHeight="false" outlineLevel="0" collapsed="false">
      <c r="A70" s="91" t="s">
        <v>41</v>
      </c>
      <c r="B70" s="92" t="n">
        <f aca="false">'Unibet Calculator'!T29</f>
        <v>0</v>
      </c>
    </row>
    <row r="71" customFormat="false" ht="13.8" hidden="true" customHeight="false" outlineLevel="0" collapsed="false">
      <c r="A71" s="91" t="s">
        <v>42</v>
      </c>
      <c r="B71" s="94" t="n">
        <f aca="false">'Unibet Calculator'!AA29</f>
        <v>0</v>
      </c>
      <c r="D71" s="96"/>
    </row>
    <row r="72" customFormat="false" ht="13.8" hidden="true" customHeight="false" outlineLevel="0" collapsed="false">
      <c r="A72" s="91" t="s">
        <v>43</v>
      </c>
      <c r="B72" s="92" t="n">
        <f aca="false">B66</f>
        <v>0</v>
      </c>
    </row>
    <row r="73" customFormat="false" ht="13.8" hidden="true" customHeight="false" outlineLevel="0" collapsed="false">
      <c r="A73" s="91" t="s">
        <v>44</v>
      </c>
      <c r="B73" s="92" t="n">
        <f aca="false">'Unibet Calculator'!T33</f>
        <v>0</v>
      </c>
    </row>
    <row r="74" customFormat="false" ht="13.8" hidden="true" customHeight="false" outlineLevel="0" collapsed="false">
      <c r="A74" s="91" t="s">
        <v>45</v>
      </c>
      <c r="B74" s="94" t="n">
        <f aca="false">'Unibet Calculator'!AA33</f>
        <v>0</v>
      </c>
    </row>
    <row r="75" customFormat="false" ht="13.8" hidden="true" customHeight="false" outlineLevel="0" collapsed="false">
      <c r="A75" s="91" t="s">
        <v>46</v>
      </c>
      <c r="B75" s="92" t="n">
        <f aca="false">B66</f>
        <v>0</v>
      </c>
    </row>
    <row r="76" customFormat="false" ht="13.8" hidden="true" customHeight="false" outlineLevel="0" collapsed="false">
      <c r="A76" s="91" t="s">
        <v>21</v>
      </c>
      <c r="B76" s="94" t="e">
        <f aca="false">ROUND((ROUND(Bonus_1_Back_Stake*(Bonus_1_Back_Odds-1)*(1-(Bonus_1_Back_Commission/100)),2)+Bonus_1_Back_Stake-ROUND(Bonus_1_Part_Lay_Stake_1*(Bonus_1_Part_Lay_Odds_1-(Bonus_1_Part_Lay_Commission_1/100)),2)-ROUND(Bonus_1_Part_Lay_Stake_2*(Bonus_1_Part_Lay_Odds_2-(Bonus_1_Part_Lay_Commission_2/100)),2)-ROUND(Bonus_1_Part_Lay_Stake_3*(Bonus_1_Part_Lay_Odds_3-(Bonus_1_Part_Lay_Commission_3/100)),2))/(Bonus_1_Lay_Odds-(Bonus_1_Lay_Commission/100)),2)</f>
        <v>#DIV/0!</v>
      </c>
    </row>
    <row r="77" customFormat="false" ht="13.8" hidden="true" customHeight="false" outlineLevel="0" collapsed="false">
      <c r="A77" s="91" t="s">
        <v>49</v>
      </c>
      <c r="B77" s="94" t="e">
        <f aca="false">ROUND(Bonus_1_Lay_Stake*(Bonus_1_Lay_Odds-1),2)</f>
        <v>#DIV/0!</v>
      </c>
    </row>
    <row r="78" customFormat="false" ht="13.8" hidden="true" customHeight="false" outlineLevel="0" collapsed="false">
      <c r="A78" s="91" t="s">
        <v>52</v>
      </c>
      <c r="B78" s="94" t="n">
        <f aca="false">ROUND(Bonus_1_Back_Stake*(Bonus_1_Back_Odds-1)*(1-(Bonus_1_Back_Commission/100)),2)</f>
        <v>-0</v>
      </c>
    </row>
    <row r="79" customFormat="false" ht="13.8" hidden="true" customHeight="false" outlineLevel="0" collapsed="false">
      <c r="A79" s="91" t="s">
        <v>85</v>
      </c>
      <c r="B79" s="94" t="e">
        <f aca="false">ROUND(Bonus_1_Lay_Stake*(1-(Bonus_1_Lay_Commission/100)),2)+ROUND(Bonus_1_Part_Lay_Stake_1*(1-(Bonus_1_Part_Lay_Commission_1/100)),2)+ROUND(Bonus_1_Part_Lay_Stake_2*(1-(Bonus_1_Part_Lay_Commission_2/100)),2)+ROUND(Bonus_1_Part_Lay_Stake_3*(1-(Bonus_1_Part_Lay_Commission_3/100)),2)</f>
        <v>#DIV/0!</v>
      </c>
    </row>
    <row r="80" customFormat="false" ht="13.8" hidden="true" customHeight="false" outlineLevel="0" collapsed="false">
      <c r="A80" s="91" t="s">
        <v>86</v>
      </c>
      <c r="B80" s="94" t="str">
        <f aca="false">IFERROR(ROUND(Bonus_1_Back_Stake*(Bonus_1_Back_Odds-1)*(1-(Bonus_1_Back_Commission/100)),2)-ROUND(Bonus_1_Lay_Stake*(Bonus_1_Lay_Odds-1),2)-ROUND(Bonus_1_Part_Lay_Stake_1*(Bonus_1_Part_Lay_Odds_1-1),2)-ROUND(Bonus_1_Part_Lay_Stake_2*(Bonus_1_Part_Lay_Odds_2-1),2)-ROUND(Bonus_1_Part_Lay_Stake_3*(Bonus_1_Part_Lay_Odds_3-1),2),"")</f>
        <v/>
      </c>
      <c r="C80" s="97" t="e">
        <f aca="false">ROUND(IF(B80&lt;0,-B80,B80),2)</f>
        <v>#VALUE!</v>
      </c>
    </row>
    <row r="81" customFormat="false" ht="13.8" hidden="true" customHeight="false" outlineLevel="0" collapsed="false">
      <c r="A81" s="91" t="s">
        <v>87</v>
      </c>
      <c r="B81" s="94" t="e">
        <f aca="false">ROUND(Bonus_1_Lay_Stake*(1-(Bonus_1_Lay_Commission/100)),2)+ROUND(Bonus_1_Part_Lay_Stake_1*(1-(Bonus_1_Part_Lay_Commission_1/100)),2)+ROUND(Bonus_1_Part_Lay_Stake_2*(1-(Bonus_1_Part_Lay_Commission_2/100)),2)+ROUND(Bonus_1_Part_Lay_Stake_3*(1-(Bonus_1_Part_Lay_Commission_3/100)),2)-Bonus_1_Back_Stake</f>
        <v>#DIV/0!</v>
      </c>
      <c r="C81" s="97" t="e">
        <f aca="false">ROUND(IF(B81&lt;0,-B81,B81),2)</f>
        <v>#DIV/0!</v>
      </c>
      <c r="E81" s="97" t="e">
        <f aca="false">Bonus_1_Lay_Stake+Bonus_1_Part_Lay_Stake_1</f>
        <v>#DIV/0!</v>
      </c>
    </row>
    <row r="82" customFormat="false" ht="13.8" hidden="true" customHeight="false" outlineLevel="0" collapsed="false">
      <c r="A82" s="91" t="s">
        <v>88</v>
      </c>
      <c r="B82" s="95" t="e">
        <f aca="false">ROUND(100*(ROUND(Bonus_1_Lay_Stake*(1-Bonus_1_Lay_Commission/100),2)+ROUND(Bonus_1_Part_Lay_Stake_1*(1-(Bonus_1_Part_Lay_Commission_1)/100),2)+ROUND(Bonus_1_Part_Lay_Stake_2*(1-(Bonus_1_Part_Lay_Commission_2)/100),2)+ROUND(Bonus_1_Part_Lay_Stake_3*(1-(Bonus_1_Part_Lay_Commission_3)/100),2))/Bonus_1_Back_Stake,2)</f>
        <v>#DIV/0!</v>
      </c>
    </row>
    <row r="83" customFormat="false" ht="13.8" hidden="true" customHeight="false" outlineLevel="0" collapsed="false">
      <c r="A83" s="91" t="s">
        <v>89</v>
      </c>
      <c r="B83" s="94" t="n">
        <f aca="false">B6-B62</f>
        <v>0</v>
      </c>
    </row>
    <row r="84" customFormat="false" ht="13.8" hidden="true" customHeight="false" outlineLevel="0" collapsed="false">
      <c r="A84" s="91" t="s">
        <v>90</v>
      </c>
      <c r="B84" s="94" t="n">
        <f aca="false">ROUND(0.03*B83,2)</f>
        <v>0</v>
      </c>
    </row>
    <row r="85" customFormat="false" ht="13.8" hidden="true" customHeight="false" outlineLevel="0" collapsed="false"/>
    <row r="86" customFormat="false" ht="13.8" hidden="true" customHeight="false" outlineLevel="0" collapsed="false">
      <c r="A86" s="93" t="s">
        <v>91</v>
      </c>
    </row>
    <row r="87" customFormat="false" ht="13.8" hidden="true" customHeight="false" outlineLevel="0" collapsed="false">
      <c r="A87" s="91" t="s">
        <v>92</v>
      </c>
      <c r="B87" s="92" t="s">
        <v>93</v>
      </c>
    </row>
    <row r="88" customFormat="false" ht="13.8" hidden="true" customHeight="false" outlineLevel="0" collapsed="false">
      <c r="A88" s="91" t="s">
        <v>94</v>
      </c>
      <c r="B88" s="92" t="str">
        <f aca="false">"Your first bonus bet lost. You will have no funds left in the bookmaker and the offer is complete. "</f>
        <v>Your first bonus bet lost. You will have no funds left in the bookmaker and the offer is complete.</v>
      </c>
    </row>
    <row r="89" customFormat="false" ht="13.8" hidden="true" customHeight="false" outlineLevel="0" collapsed="false">
      <c r="A89" s="91" t="s">
        <v>95</v>
      </c>
      <c r="B89" s="92" t="str">
        <f aca="false">"Your first bonus bet won, and you have one more bet of £"&amp;B83&amp;" to make to complete wagering."</f>
        <v>Your first bonus bet won, and you have one more bet of £0 to make to complete wagering.</v>
      </c>
    </row>
    <row r="90" customFormat="false" ht="13.8" hidden="true" customHeight="false" outlineLevel="0" collapsed="false">
      <c r="A90" s="91" t="s">
        <v>96</v>
      </c>
      <c r="B90" s="92" t="str">
        <f aca="false">""</f>
        <v/>
      </c>
    </row>
    <row r="91" customFormat="false" ht="13.8" hidden="true" customHeight="false" outlineLevel="0" collapsed="false">
      <c r="A91" s="91" t="s">
        <v>97</v>
      </c>
      <c r="B91" s="95" t="e">
        <f aca="false">"You lost £"&amp;TEXT(B31,"#0.00")&amp;" on the qualifying bet and £"&amp;TEXT(Calculations!C81,"#0.00")&amp;" on your bonus bet."</f>
        <v>#VALUE!</v>
      </c>
    </row>
    <row r="92" customFormat="false" ht="13.8" hidden="true" customHeight="false" outlineLevel="0" collapsed="false">
      <c r="A92" s="91" t="s">
        <v>98</v>
      </c>
      <c r="B92" s="92" t="e">
        <f aca="false">"You made a qualifying loss of £"&amp;TEXT(B31,"#0.00")&amp;" on your qualifying bet and a further £"&amp;TEXT(C80,"#0.00")&amp;" on your first bonus bet."</f>
        <v>#VALUE!</v>
      </c>
    </row>
    <row r="93" customFormat="false" ht="13.8" hidden="true" customHeight="false" outlineLevel="0" collapsed="false">
      <c r="A93" s="91" t="s">
        <v>99</v>
      </c>
      <c r="B93" s="92" t="str">
        <f aca="false">""</f>
        <v/>
      </c>
    </row>
    <row r="94" customFormat="false" ht="13.8" hidden="true" customHeight="false" outlineLevel="0" collapsed="false">
      <c r="A94" s="91" t="s">
        <v>100</v>
      </c>
      <c r="B94" s="94" t="e">
        <f aca="false">"Your final qualifying loss for the offer is £"&amp;TEXT(Calculations!B31-Calculations!B81,"#0.00")&amp;". Your overall profit for the offer is £"&amp;TEXT(Maximum_Bonus-Calculations!B31+Calculations!B81,"#0.00")&amp;"."</f>
        <v>#VALUE!</v>
      </c>
    </row>
    <row r="95" customFormat="false" ht="13.8" hidden="true" customHeight="false" outlineLevel="0" collapsed="false">
      <c r="A95" s="91" t="s">
        <v>101</v>
      </c>
      <c r="B95" s="92" t="e">
        <f aca="false">"Total qualfiying loss so far is £"&amp;TEXT(Calculations!B31-Calculations!B80,"#0.00")&amp;". You should make a further loss of £"&amp;TEXT(B84,"#0.00")&amp;" (assuming 97% rating) from your final bonus bet."</f>
        <v>#VALUE!</v>
      </c>
    </row>
    <row r="96" customFormat="false" ht="13.8" hidden="true" customHeight="false" outlineLevel="0" collapsed="false">
      <c r="A96" s="91" t="s">
        <v>102</v>
      </c>
      <c r="B96" s="92" t="str">
        <f aca="false">""</f>
        <v/>
      </c>
    </row>
    <row r="97" customFormat="false" ht="13.8" hidden="true" customHeight="false" outlineLevel="0" collapsed="false">
      <c r="A97" s="91" t="s">
        <v>103</v>
      </c>
      <c r="B97" s="92" t="e">
        <f aca="false">"Overall bookmaker loss is £"&amp;Back_Stake&amp;". Overall exchange gain is £"&amp;TEXT(B26,"#0.00")&amp;" (qualifying) and £"&amp;TEXT(B79,"#0.00")&amp;" (bonus wagering)."</f>
        <v>#DIV/0!</v>
      </c>
    </row>
    <row r="98" customFormat="false" ht="13.8" hidden="true" customHeight="false" outlineLevel="0" collapsed="false">
      <c r="A98" s="91" t="s">
        <v>104</v>
      </c>
      <c r="B98" s="92" t="e">
        <f aca="false">"Final profit (assuming 97% rating on your final bonus bet) will be £"&amp;TEXT(Maximum_Bonus-(Calculations!B31-Calculations!B80+Calculations!B84),"#0.00")&amp;". Proceed to the 'Bonus Wagering 2' section."</f>
        <v>#VALUE!</v>
      </c>
    </row>
    <row r="99" customFormat="false" ht="13.8" hidden="true" customHeight="false" outlineLevel="0" collapsed="false">
      <c r="A99" s="91" t="s">
        <v>75</v>
      </c>
      <c r="B99" s="95" t="str">
        <f aca="false">IF(OR(Outcome_Of_First_Bonus_Bet="Not placed",Outcome_Of_First_Bonus_Bet="Pending"),B87,IF(Outcome_Of_First_Bonus_Bet="Lost",B88,IF(Outcome_Of_First_Bonus_Bet="Won",B89)))</f>
        <v>When the first bonus bet has settled, the overall position at the time will be shown in this section.</v>
      </c>
    </row>
    <row r="100" customFormat="false" ht="13.8" hidden="true" customHeight="false" outlineLevel="0" collapsed="false">
      <c r="A100" s="91" t="s">
        <v>76</v>
      </c>
      <c r="B100" s="95" t="str">
        <f aca="false">IF(OR(Outcome_Of_First_Bonus_Bet="Not placed",Outcome_Of_First_Bonus_Bet="Pending"),B90,IF(Outcome_Of_First_Bonus_Bet="Lost",B91,IF(Outcome_Of_First_Bonus_Bet="Won",B92)))</f>
        <v/>
      </c>
    </row>
    <row r="101" customFormat="false" ht="13.8" hidden="true" customHeight="false" outlineLevel="0" collapsed="false">
      <c r="A101" s="91" t="s">
        <v>77</v>
      </c>
      <c r="B101" s="95" t="str">
        <f aca="false">IF(OR(Outcome_Of_First_Bonus_Bet="Not placed",Outcome_Of_First_Bonus_Bet="Pending"),B93,IF(Outcome_Of_First_Bonus_Bet="Lost",B94,IF(Outcome_Of_First_Bonus_Bet="Won",B95)))</f>
        <v/>
      </c>
    </row>
    <row r="102" customFormat="false" ht="13.8" hidden="true" customHeight="false" outlineLevel="0" collapsed="false">
      <c r="A102" s="91" t="s">
        <v>78</v>
      </c>
      <c r="B102" s="92" t="str">
        <f aca="false">IF(OR(Outcome_Of_First_Bonus_Bet="Not placed",Outcome_Of_First_Bonus_Bet="Pending"),B96,IF(Outcome_Of_First_Bonus_Bet="Lost",B97,IF(Outcome_Of_First_Bonus_Bet="Won",B98)))</f>
        <v/>
      </c>
    </row>
    <row r="103" customFormat="false" ht="13.8" hidden="true" customHeight="false" outlineLevel="0" collapsed="false"/>
    <row r="104" customFormat="false" ht="13.8" hidden="true" customHeight="false" outlineLevel="0" collapsed="false">
      <c r="A104" s="93" t="s">
        <v>105</v>
      </c>
    </row>
    <row r="105" customFormat="false" ht="13.8" hidden="true" customHeight="false" outlineLevel="0" collapsed="false">
      <c r="A105" s="91" t="s">
        <v>106</v>
      </c>
      <c r="B105" s="95" t="str">
        <f aca="false">IF(OR(Outcome_Of_First_Bonus_Bet="Not placed",Outcome_Of_First_Bonus_Bet="Pending",Outcome_Of_First_Bonus_Bet="Lost",Qualifying_Result="Won",'Unibet Calculator'!S44=""),"Yes")</f>
        <v>Yes</v>
      </c>
    </row>
    <row r="106" customFormat="false" ht="13.8" hidden="true" customHeight="false" outlineLevel="0" collapsed="false">
      <c r="A106" s="91" t="s">
        <v>10</v>
      </c>
      <c r="B106" s="94" t="n">
        <f aca="false">'Unibet Calculator'!AJ12</f>
        <v>0</v>
      </c>
    </row>
    <row r="107" customFormat="false" ht="13.8" hidden="true" customHeight="false" outlineLevel="0" collapsed="false">
      <c r="A107" s="91" t="s">
        <v>13</v>
      </c>
      <c r="B107" s="92" t="n">
        <f aca="false">'Unibet Calculator'!AO12</f>
        <v>0</v>
      </c>
    </row>
    <row r="108" customFormat="false" ht="13.8" hidden="true" customHeight="false" outlineLevel="0" collapsed="false">
      <c r="A108" s="91" t="s">
        <v>16</v>
      </c>
      <c r="B108" s="92" t="n">
        <f aca="false">'Unibet Calculator'!AO14</f>
        <v>0</v>
      </c>
    </row>
    <row r="109" customFormat="false" ht="13.8" hidden="true" customHeight="false" outlineLevel="0" collapsed="false">
      <c r="A109" s="91" t="s">
        <v>17</v>
      </c>
      <c r="B109" s="95" t="n">
        <f aca="false">'Unibet Calculator'!AI18</f>
        <v>0</v>
      </c>
    </row>
    <row r="110" customFormat="false" ht="13.8" hidden="true" customHeight="false" outlineLevel="0" collapsed="false">
      <c r="A110" s="91" t="s">
        <v>18</v>
      </c>
      <c r="B110" s="92" t="n">
        <f aca="false">'Unibet Calculator'!AO18</f>
        <v>0</v>
      </c>
    </row>
    <row r="111" customFormat="false" ht="13.8" hidden="true" customHeight="false" outlineLevel="0" collapsed="false">
      <c r="A111" s="91" t="s">
        <v>38</v>
      </c>
      <c r="B111" s="95" t="n">
        <f aca="false">'Unibet Calculator'!AI25</f>
        <v>0</v>
      </c>
    </row>
    <row r="112" customFormat="false" ht="13.8" hidden="true" customHeight="false" outlineLevel="0" collapsed="false">
      <c r="A112" s="91" t="s">
        <v>39</v>
      </c>
      <c r="B112" s="94" t="n">
        <f aca="false">'Unibet Calculator'!AP25</f>
        <v>0</v>
      </c>
    </row>
    <row r="113" customFormat="false" ht="13.8" hidden="true" customHeight="false" outlineLevel="0" collapsed="false">
      <c r="A113" s="91" t="s">
        <v>40</v>
      </c>
      <c r="B113" s="92" t="n">
        <f aca="false">B110</f>
        <v>0</v>
      </c>
    </row>
    <row r="114" customFormat="false" ht="13.8" hidden="true" customHeight="false" outlineLevel="0" collapsed="false">
      <c r="A114" s="91" t="s">
        <v>41</v>
      </c>
      <c r="B114" s="92" t="n">
        <f aca="false">'Unibet Calculator'!AI29</f>
        <v>0</v>
      </c>
    </row>
    <row r="115" customFormat="false" ht="13.8" hidden="true" customHeight="false" outlineLevel="0" collapsed="false">
      <c r="A115" s="91" t="s">
        <v>42</v>
      </c>
      <c r="B115" s="94" t="n">
        <f aca="false">'Unibet Calculator'!AP29</f>
        <v>0</v>
      </c>
    </row>
    <row r="116" customFormat="false" ht="13.8" hidden="true" customHeight="false" outlineLevel="0" collapsed="false">
      <c r="A116" s="91" t="s">
        <v>43</v>
      </c>
      <c r="B116" s="92" t="n">
        <f aca="false">B110</f>
        <v>0</v>
      </c>
    </row>
    <row r="117" customFormat="false" ht="13.8" hidden="true" customHeight="false" outlineLevel="0" collapsed="false">
      <c r="A117" s="91" t="s">
        <v>44</v>
      </c>
      <c r="B117" s="92" t="n">
        <f aca="false">'Unibet Calculator'!AI33</f>
        <v>0</v>
      </c>
    </row>
    <row r="118" customFormat="false" ht="13.8" hidden="true" customHeight="false" outlineLevel="0" collapsed="false">
      <c r="A118" s="91" t="s">
        <v>45</v>
      </c>
      <c r="B118" s="94" t="n">
        <f aca="false">'Unibet Calculator'!AP33</f>
        <v>0</v>
      </c>
    </row>
    <row r="119" customFormat="false" ht="13.8" hidden="true" customHeight="false" outlineLevel="0" collapsed="false">
      <c r="A119" s="91" t="s">
        <v>46</v>
      </c>
      <c r="B119" s="92" t="n">
        <f aca="false">B110</f>
        <v>0</v>
      </c>
    </row>
    <row r="120" customFormat="false" ht="13.8" hidden="true" customHeight="false" outlineLevel="0" collapsed="false">
      <c r="A120" s="91" t="s">
        <v>21</v>
      </c>
      <c r="B120" s="94" t="e">
        <f aca="false">ROUND((ROUND(Bonus_2_Back_Stake*(Bonus_2_Back_Odds-1)*(1-(Bonus_2_Back_Commission/100)),2)+ROUND(Bonus_2_Back_Stake-Bonus_2_Part_Lay_Stake_1*(Bonus_2_Part_Lay_Odds_1-(Bonus_2_Part_Lay_Commission_1/100)),2)-ROUND(Bonus_2_Part_Lay_Stake_2*(Bonus_2_Part_Lay_Odds_2-(Bonus_2_Part_Lay_Commission_2/100)),2)-ROUND(Bonus_2_Part_Lay_Stake_3*(Bonus_2_Part_Lay_Odds_3-(Bonus_2_Part_Lay_Commission_3/100)),2))/(Bonus_2_Lay_Odds-(Bonus_2_Lay_Commission/100)),2)</f>
        <v>#DIV/0!</v>
      </c>
    </row>
    <row r="121" customFormat="false" ht="13.8" hidden="true" customHeight="false" outlineLevel="0" collapsed="false">
      <c r="A121" s="91" t="s">
        <v>49</v>
      </c>
      <c r="B121" s="94" t="e">
        <f aca="false">ROUND(Bonus_2_Lay_Stake*(Bonus_2_Lay_Odds-1),2)</f>
        <v>#DIV/0!</v>
      </c>
    </row>
    <row r="122" customFormat="false" ht="13.8" hidden="true" customHeight="false" outlineLevel="0" collapsed="false">
      <c r="A122" s="91" t="s">
        <v>52</v>
      </c>
      <c r="B122" s="94" t="n">
        <f aca="false">ROUND(Bonus_2_Back_Stake*(Bonus_2_Back_Odds-1)*(1-(Bonus_2_Back_Commission/100)),2)</f>
        <v>-0</v>
      </c>
    </row>
    <row r="123" customFormat="false" ht="13.8" hidden="true" customHeight="false" outlineLevel="0" collapsed="false">
      <c r="A123" s="91" t="s">
        <v>85</v>
      </c>
      <c r="B123" s="94" t="e">
        <f aca="false">ROUND(Bonus_2_Lay_Stake*(1-(Bonus_2_Lay_Commission/100)),2)+ROUND(Bonus_2_Part_Lay_Stake_1*(1-(Bonus_2_Part_Lay_Commission_1/100)),2)+ROUND(Bonus_2_Part_Lay_Stake_2*(1-(Bonus_2_Part_Lay_Commission_2/100)),2)+ROUND(Bonus_2_Part_Lay_Stake_3*(1-(Bonus_2_Part_Lay_Commission_3/100)),2)</f>
        <v>#DIV/0!</v>
      </c>
    </row>
    <row r="124" customFormat="false" ht="13.8" hidden="true" customHeight="false" outlineLevel="0" collapsed="false">
      <c r="A124" s="91" t="s">
        <v>86</v>
      </c>
      <c r="B124" s="94" t="str">
        <f aca="false">IFERROR(ROUND(Bonus_2_Back_Stake*(Bonus_2_Back_Odds-1)*(1-(Bonus_2_Back_Commission/100)),2)-ROUND(Bonus_2_Lay_Stake*(Bonus_2_Lay_Odds-1),2)-ROUND(Bonus_2_Part_Lay_Stake_1*(Bonus_2_Part_Lay_Odds_1-1),2)-ROUND(Bonus_2_Part_Lay_Stake_2*(Bonus_2_Part_Lay_Odds_2-1),2)-ROUND(Bonus_2_Part_Lay_Stake_3*(Bonus_2_Part_Lay_Odds_3-1),2),"")</f>
        <v/>
      </c>
      <c r="C124" s="97" t="e">
        <f aca="false">ROUND(IF(B124&lt;0,-B124,B124),2)</f>
        <v>#VALUE!</v>
      </c>
    </row>
    <row r="125" customFormat="false" ht="13.8" hidden="true" customHeight="false" outlineLevel="0" collapsed="false">
      <c r="A125" s="91" t="s">
        <v>87</v>
      </c>
      <c r="B125" s="94" t="e">
        <f aca="false">ROUND(Bonus_2_Lay_Stake*(1-(Bonus_2_Lay_Commission/100)),2)+ROUND(Bonus_2_Part_Lay_Stake_1*(1-(Bonus_2_Part_Lay_Commission_1/100)),2)+ROUND(Bonus_2_Part_Lay_Stake_2*(1-(Bonus_2_Part_Lay_Commission_2/100)),2)+ROUND(Bonus_2_Part_Lay_Stake_3*(1-(Bonus_2_Part_Lay_Commission_3/100)),2)-Bonus_2_Back_Stake</f>
        <v>#DIV/0!</v>
      </c>
      <c r="C125" s="97" t="e">
        <f aca="false">ROUND(IF(B125&lt;0,-B125,B125),2)</f>
        <v>#DIV/0!</v>
      </c>
    </row>
    <row r="126" customFormat="false" ht="13.8" hidden="true" customHeight="false" outlineLevel="0" collapsed="false">
      <c r="A126" s="91" t="s">
        <v>88</v>
      </c>
      <c r="B126" s="95" t="e">
        <f aca="false">ROUND(100*(ROUND(Bonus_2_Lay_Stake*(1-Bonus_2_Lay_Commission/100),2)+ROUND(Bonus_2_Part_Lay_Stake_1*(1-(Bonus_2_Part_Lay_Commission_1)/100),2)+ROUND(Bonus_2_Part_Lay_Stake_2*(1-(Bonus_2_Part_Lay_Commission_2)/100),2)+ROUND(Bonus_2_Part_Lay_Stake_3*(1-(Bonus_2_Part_Lay_Commission_3)/100),2))/Bonus_2_Back_Stake,2)</f>
        <v>#DIV/0!</v>
      </c>
    </row>
    <row r="127" customFormat="false" ht="13.8" hidden="true" customHeight="false" outlineLevel="0" collapsed="false"/>
    <row r="128" customFormat="false" ht="13.8" hidden="true" customHeight="false" outlineLevel="0" collapsed="false">
      <c r="A128" s="93" t="s">
        <v>107</v>
      </c>
    </row>
    <row r="129" customFormat="false" ht="13.8" hidden="true" customHeight="false" outlineLevel="0" collapsed="false">
      <c r="A129" s="91" t="s">
        <v>108</v>
      </c>
      <c r="B129" s="92" t="s">
        <v>93</v>
      </c>
    </row>
    <row r="130" customFormat="false" ht="13.8" hidden="true" customHeight="false" outlineLevel="0" collapsed="false">
      <c r="A130" s="91" t="s">
        <v>109</v>
      </c>
      <c r="B130" s="92" t="str">
        <f aca="false">"Your second bonus bet lost. You have completed the offer as you have finished wagering. "</f>
        <v>Your second bonus bet lost. You have completed the offer as you have finished wagering.</v>
      </c>
    </row>
    <row r="131" customFormat="false" ht="13.8" hidden="true" customHeight="false" outlineLevel="0" collapsed="false">
      <c r="A131" s="91" t="s">
        <v>110</v>
      </c>
      <c r="B131" s="92" t="str">
        <f aca="false">"Your second bonus bet won. You have completed the offer as you have finished wageirng."</f>
        <v>Your second bonus bet won. You have completed the offer as you have finished wageirng.</v>
      </c>
    </row>
    <row r="132" customFormat="false" ht="13.8" hidden="true" customHeight="false" outlineLevel="0" collapsed="false">
      <c r="A132" s="91" t="s">
        <v>111</v>
      </c>
      <c r="B132" s="92" t="str">
        <f aca="false">""</f>
        <v/>
      </c>
    </row>
    <row r="133" customFormat="false" ht="13.8" hidden="true" customHeight="false" outlineLevel="0" collapsed="false">
      <c r="A133" s="91" t="s">
        <v>112</v>
      </c>
      <c r="B133" s="92" t="e">
        <f aca="false">"You made a qualifying loss of £"&amp;TEXT(B31,"#0.00")&amp;" on your qualifying bet, £"&amp;TEXT(C80,"#0.00")&amp;" on your first bonus bet and £"&amp;TEXT(C125,"#0.00")&amp;" on your second bonus bet."</f>
        <v>#VALUE!</v>
      </c>
    </row>
    <row r="134" customFormat="false" ht="13.8" hidden="true" customHeight="false" outlineLevel="0" collapsed="false">
      <c r="A134" s="91" t="s">
        <v>113</v>
      </c>
      <c r="B134" s="92" t="e">
        <f aca="false">"You made a qualifying loss of £"&amp;TEXT(B31,"#0.00")&amp;" on your qualifying bet, £"&amp;TEXT(C80,"#0.00")&amp;" on your first bonus bet and £"&amp;TEXT(C124,"#0.00")&amp;" on your second bonus bet."</f>
        <v>#VALUE!</v>
      </c>
    </row>
    <row r="135" customFormat="false" ht="13.8" hidden="true" customHeight="false" outlineLevel="0" collapsed="false">
      <c r="A135" s="91" t="s">
        <v>114</v>
      </c>
      <c r="B135" s="92" t="str">
        <f aca="false">""</f>
        <v/>
      </c>
    </row>
    <row r="136" customFormat="false" ht="13.8" hidden="true" customHeight="false" outlineLevel="0" collapsed="false">
      <c r="A136" s="91" t="s">
        <v>115</v>
      </c>
      <c r="B136" s="95" t="e">
        <f aca="false">"Total qualfiying loss for the offer is £"&amp;TEXT(Calculations!B31-Calculations!B80-Calculations!B125,"#0.00")&amp;"."</f>
        <v>#VALUE!</v>
      </c>
    </row>
    <row r="137" customFormat="false" ht="13.8" hidden="true" customHeight="false" outlineLevel="0" collapsed="false">
      <c r="A137" s="91" t="s">
        <v>116</v>
      </c>
      <c r="B137" s="92" t="e">
        <f aca="false">"Total qualfiying loss for the offer is £"&amp;TEXT(Calculations!B31-Calculations!B80-Calculations!B124,"#0.00")&amp;"."</f>
        <v>#VALUE!</v>
      </c>
    </row>
    <row r="138" customFormat="false" ht="13.8" hidden="true" customHeight="false" outlineLevel="0" collapsed="false">
      <c r="A138" s="91" t="s">
        <v>117</v>
      </c>
      <c r="B138" s="92" t="str">
        <f aca="false">""</f>
        <v/>
      </c>
    </row>
    <row r="139" customFormat="false" ht="13.8" hidden="true" customHeight="false" outlineLevel="0" collapsed="false">
      <c r="A139" s="91" t="s">
        <v>118</v>
      </c>
      <c r="B139" s="95" t="e">
        <f aca="false">"Final profit for the offer is £"&amp;TEXT(Maximum_Bonus-(Calculations!B31-Calculations!B80-Calculations!B125),"#0.00")&amp;" due to the £"&amp;Maximum_Bonus&amp;" bonus given to you by the bookmaker. The offer is complete."</f>
        <v>#VALUE!</v>
      </c>
    </row>
    <row r="140" customFormat="false" ht="13.8" hidden="true" customHeight="false" outlineLevel="0" collapsed="false">
      <c r="A140" s="91" t="s">
        <v>119</v>
      </c>
      <c r="B140" s="95" t="e">
        <f aca="false">"Final profit for the offer is £"&amp;TEXT(Maximum_Bonus-(Calculations!B31-Calculations!B80-Calculations!B124),"#0.00")&amp;" due to the £"&amp;Maximum_Bonus&amp;" bonus given to you by the bookmaker. The offer is complete."</f>
        <v>#VALUE!</v>
      </c>
    </row>
    <row r="141" customFormat="false" ht="13.8" hidden="true" customHeight="false" outlineLevel="0" collapsed="false">
      <c r="A141" s="91" t="s">
        <v>75</v>
      </c>
      <c r="B141" s="95" t="str">
        <f aca="false">IF(OR(Outcome_Of_Second_Bonus_Bet="Not placed",Outcome_Of_Second_Bonus_Bet="Pending"),B129,IF(Outcome_Of_Second_Bonus_Bet="Lost",B130,IF(Outcome_Of_Second_Bonus_Bet="Won",B131)))</f>
        <v>When the first bonus bet has settled, the overall position at the time will be shown in this section.</v>
      </c>
    </row>
    <row r="142" customFormat="false" ht="13.8" hidden="true" customHeight="false" outlineLevel="0" collapsed="false">
      <c r="A142" s="91" t="s">
        <v>76</v>
      </c>
      <c r="B142" s="95" t="str">
        <f aca="false">IF(OR(Outcome_Of_Second_Bonus_Bet="Not placed",Outcome_Of_Second_Bonus_Bet="Pending"),B132,IF(Outcome_Of_Second_Bonus_Bet="Lost",B133,IF(Outcome_Of_Second_Bonus_Bet="Won",B134)))</f>
        <v/>
      </c>
    </row>
    <row r="143" customFormat="false" ht="13.8" hidden="true" customHeight="false" outlineLevel="0" collapsed="false">
      <c r="A143" s="91" t="s">
        <v>77</v>
      </c>
      <c r="B143" s="95" t="str">
        <f aca="false">IF(OR(Outcome_Of_Second_Bonus_Bet="Not placed",Outcome_Of_Second_Bonus_Bet="Pending"),B135,IF(Outcome_Of_Second_Bonus_Bet="Lost",B136,IF(Outcome_Of_Second_Bonus_Bet="Won",B137)))</f>
        <v/>
      </c>
    </row>
    <row r="144" customFormat="false" ht="13.8" hidden="true" customHeight="false" outlineLevel="0" collapsed="false">
      <c r="A144" s="91" t="s">
        <v>78</v>
      </c>
      <c r="B144" s="92" t="str">
        <f aca="false">IF(OR(Outcome_Of_Second_Bonus_Bet="Not placed",Outcome_Of_Second_Bonus_Bet="Pending"),B138,IF(Outcome_Of_Second_Bonus_Bet="Lost",B139,IF(Outcome_Of_Second_Bonus_Bet="Won",B140)))</f>
        <v/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acaf" objects="true" scenarios="true" selectLockedCells="true" selectUnlockedCells="true"/>
  <conditionalFormatting sqref="S12:AB12 AH12:AQ12">
    <cfRule type="expression" priority="2" aboveAverage="0" equalAverage="0" bottom="0" percent="0" rank="0" text="" dxfId="6">
      <formula>Calculations!$B$61="Yes"</formula>
    </cfRule>
  </conditionalFormatting>
  <conditionalFormatting sqref="S16:AB16 AH16:AQ16">
    <cfRule type="expression" priority="3" aboveAverage="0" equalAverage="0" bottom="0" percent="0" rank="0" text="" dxfId="0">
      <formula>Calculations!$B$61="Yes"</formula>
    </cfRule>
  </conditionalFormatting>
  <conditionalFormatting sqref="S35:AB35 AH35:AQ35">
    <cfRule type="expression" priority="4" aboveAverage="0" equalAverage="0" bottom="0" percent="0" rank="0" text="" dxfId="1">
      <formula>Calculations!$B$61="Yes"</formula>
    </cfRule>
  </conditionalFormatting>
  <conditionalFormatting sqref="S21:AB31">
    <cfRule type="expression" priority="5" aboveAverage="0" equalAverage="0" bottom="0" percent="0" rank="0" text="" dxfId="2">
      <formula>Calculations!$B$61="Yes"</formula>
    </cfRule>
  </conditionalFormatting>
  <conditionalFormatting sqref="AH12:AR12">
    <cfRule type="expression" priority="6" aboveAverage="0" equalAverage="0" bottom="0" percent="0" rank="0" text="" dxfId="5">
      <formula>Calculations!$B$105="Yes"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9765625" defaultRowHeight="15" zeroHeight="false" outlineLevelRow="0" outlineLevelCol="0"/>
  <cols>
    <col collapsed="false" customWidth="true" hidden="false" outlineLevel="0" max="1" min="1" style="0" width="9.71"/>
    <col collapsed="false" customWidth="true" hidden="false" outlineLevel="0" max="2" min="2" style="0" width="13.83"/>
    <col collapsed="false" customWidth="true" hidden="false" outlineLevel="0" max="3" min="3" style="0" width="10.38"/>
  </cols>
  <sheetData>
    <row r="1" customFormat="false" ht="13.8" hidden="true" customHeight="false" outlineLevel="0" collapsed="false">
      <c r="A1" s="0" t="s">
        <v>6</v>
      </c>
      <c r="B1" s="0" t="s">
        <v>4</v>
      </c>
      <c r="C1" s="0" t="s">
        <v>25</v>
      </c>
    </row>
    <row r="2" customFormat="false" ht="13.8" hidden="true" customHeight="false" outlineLevel="0" collapsed="false">
      <c r="A2" s="0" t="s">
        <v>120</v>
      </c>
      <c r="B2" s="0" t="s">
        <v>121</v>
      </c>
      <c r="C2" s="0" t="s">
        <v>122</v>
      </c>
    </row>
    <row r="3" customFormat="false" ht="13.8" hidden="true" customHeight="false" outlineLevel="0" collapsed="false">
      <c r="C3" s="0" t="s">
        <v>123</v>
      </c>
    </row>
    <row r="4" customFormat="false" ht="13.8" hidden="true" customHeight="false" outlineLevel="0" collapsed="false">
      <c r="C4" s="0" t="s">
        <v>124</v>
      </c>
    </row>
  </sheetData>
  <sheetProtection sheet="true" password="acaf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7440</TotalTime>
  <Application>LibreOffice/7.2.2.2$MacOSX_X86_64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2021-05-09T09:58:01Z</dcterms:created>
  <dc:creator/>
  <dc:description/>
  <dc:language>en-GB</dc:language>
  <cp:lastModifiedBy/>
  <dcterms:modified xsi:type="dcterms:W3CDTF">2022-05-20T09:26:43Z</dcterms:modified>
  <cp:revision>754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